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70" yWindow="360" windowWidth="11370" windowHeight="5550" activeTab="0"/>
  </bookViews>
  <sheets>
    <sheet name="Расчёт доставки" sheetId="1" r:id="rId1"/>
  </sheets>
  <definedNames/>
  <calcPr fullCalcOnLoad="1"/>
</workbook>
</file>

<file path=xl/comments1.xml><?xml version="1.0" encoding="utf-8"?>
<comments xmlns="http://schemas.openxmlformats.org/spreadsheetml/2006/main">
  <authors>
    <author>Влад</author>
    <author>alina</author>
    <author/>
    <author>Core2Duo</author>
  </authors>
  <commentList>
    <comment ref="X126" authorId="0">
      <text>
        <r>
          <rPr>
            <b/>
            <sz val="8"/>
            <rFont val="Tahoma"/>
            <family val="2"/>
          </rPr>
          <t>Зависит от города
минималка</t>
        </r>
      </text>
    </comment>
    <comment ref="AS126" authorId="0">
      <text>
        <r>
          <rPr>
            <b/>
            <sz val="8"/>
            <rFont val="Tahoma"/>
            <family val="2"/>
          </rPr>
          <t>Зависит от города
минималка</t>
        </r>
      </text>
    </comment>
    <comment ref="AV126" authorId="0">
      <text>
        <r>
          <rPr>
            <b/>
            <sz val="8"/>
            <rFont val="Tahoma"/>
            <family val="2"/>
          </rPr>
          <t>Зависит от города
минималка</t>
        </r>
      </text>
    </comment>
    <comment ref="AT126" authorId="0">
      <text>
        <r>
          <rPr>
            <b/>
            <sz val="8"/>
            <rFont val="Tahoma"/>
            <family val="2"/>
          </rPr>
          <t>Поменять местами
вес на объём!</t>
        </r>
      </text>
    </comment>
    <comment ref="AW126" authorId="0">
      <text>
        <r>
          <rPr>
            <b/>
            <sz val="8"/>
            <rFont val="Tahoma"/>
            <family val="2"/>
          </rPr>
          <t>Поменять местами
вес на объём!</t>
        </r>
      </text>
    </comment>
    <comment ref="R147" authorId="1">
      <text>
        <r>
          <rPr>
            <b/>
            <sz val="9"/>
            <rFont val="Tahoma"/>
            <family val="2"/>
          </rPr>
          <t>экспресс перевозка</t>
        </r>
        <r>
          <rPr>
            <sz val="9"/>
            <rFont val="Tahoma"/>
            <family val="2"/>
          </rPr>
          <t xml:space="preserve">
</t>
        </r>
      </text>
    </comment>
    <comment ref="S147" authorId="1">
      <text>
        <r>
          <rPr>
            <b/>
            <sz val="9"/>
            <rFont val="Tahoma"/>
            <family val="2"/>
          </rPr>
          <t>экспресс перевозка</t>
        </r>
        <r>
          <rPr>
            <sz val="9"/>
            <rFont val="Tahoma"/>
            <family val="2"/>
          </rPr>
          <t xml:space="preserve">
</t>
        </r>
      </text>
    </comment>
    <comment ref="T147" authorId="1">
      <text>
        <r>
          <rPr>
            <b/>
            <sz val="9"/>
            <rFont val="Tahoma"/>
            <family val="2"/>
          </rPr>
          <t>экспресс перевозка</t>
        </r>
        <r>
          <rPr>
            <sz val="9"/>
            <rFont val="Tahoma"/>
            <family val="2"/>
          </rPr>
          <t xml:space="preserve">
</t>
        </r>
      </text>
    </comment>
    <comment ref="U147" authorId="1">
      <text>
        <r>
          <rPr>
            <b/>
            <sz val="9"/>
            <rFont val="Tahoma"/>
            <family val="2"/>
          </rPr>
          <t>экспресс перевозка</t>
        </r>
        <r>
          <rPr>
            <sz val="9"/>
            <rFont val="Tahoma"/>
            <family val="2"/>
          </rPr>
          <t xml:space="preserve">
</t>
        </r>
      </text>
    </comment>
    <comment ref="V147" authorId="1">
      <text>
        <r>
          <rPr>
            <b/>
            <sz val="9"/>
            <rFont val="Tahoma"/>
            <family val="2"/>
          </rPr>
          <t>экспресс перевозка</t>
        </r>
        <r>
          <rPr>
            <sz val="9"/>
            <rFont val="Tahoma"/>
            <family val="2"/>
          </rPr>
          <t xml:space="preserve">
</t>
        </r>
      </text>
    </comment>
    <comment ref="R156" authorId="2">
      <text>
        <r>
          <rPr>
            <b/>
            <sz val="10"/>
            <color indexed="8"/>
            <rFont val="Times New Roman"/>
            <family val="1"/>
          </rPr>
          <t>тяж.&gt;50кг-90руб.</t>
        </r>
      </text>
    </comment>
    <comment ref="R159" authorId="2">
      <text>
        <r>
          <rPr>
            <b/>
            <sz val="10"/>
            <color indexed="8"/>
            <rFont val="Times New Roman"/>
            <family val="1"/>
          </rPr>
          <t>тяж.&gt;50кг-55руб.</t>
        </r>
      </text>
    </comment>
    <comment ref="R163" authorId="3">
      <text>
        <r>
          <rPr>
            <b/>
            <sz val="8"/>
            <rFont val="Tahoma"/>
            <family val="2"/>
          </rPr>
          <t>Тяж.&gt;80кг 110руб.</t>
        </r>
      </text>
    </comment>
    <comment ref="R193" authorId="2">
      <text>
        <r>
          <rPr>
            <b/>
            <sz val="10"/>
            <color indexed="8"/>
            <rFont val="Times New Roman"/>
            <family val="1"/>
          </rPr>
          <t>(одежда 40 руб.)</t>
        </r>
      </text>
    </comment>
    <comment ref="R197" authorId="2">
      <text>
        <r>
          <rPr>
            <b/>
            <sz val="10"/>
            <color indexed="8"/>
            <rFont val="Times New Roman"/>
            <family val="1"/>
          </rPr>
          <t>(тяж. &gt;80кг-90руб.)</t>
        </r>
      </text>
    </comment>
    <comment ref="R160" authorId="3">
      <text>
        <r>
          <rPr>
            <b/>
            <sz val="8"/>
            <rFont val="Tahoma"/>
            <family val="2"/>
          </rPr>
          <t>Тяж.&gt;50кг 84руб.</t>
        </r>
      </text>
    </comment>
    <comment ref="R188" authorId="2">
      <text>
        <r>
          <rPr>
            <b/>
            <sz val="10"/>
            <color indexed="8"/>
            <rFont val="Times New Roman"/>
            <family val="1"/>
          </rPr>
          <t>(тяж. &gt;80кг – 116руб.)</t>
        </r>
      </text>
    </comment>
  </commentList>
</comments>
</file>

<file path=xl/sharedStrings.xml><?xml version="1.0" encoding="utf-8"?>
<sst xmlns="http://schemas.openxmlformats.org/spreadsheetml/2006/main" count="742" uniqueCount="284">
  <si>
    <t>АВИА</t>
  </si>
  <si>
    <t>Ж/Д грузовая скорость</t>
  </si>
  <si>
    <t>Вес (кг.)</t>
  </si>
  <si>
    <r>
      <t>Объём (м</t>
    </r>
    <r>
      <rPr>
        <b/>
        <vertAlign val="superscript"/>
        <sz val="8"/>
        <rFont val="Arial Cyr"/>
        <family val="0"/>
      </rPr>
      <t>3</t>
    </r>
    <r>
      <rPr>
        <b/>
        <sz val="8"/>
        <rFont val="Arial Cyr"/>
        <family val="0"/>
      </rPr>
      <t>)</t>
    </r>
  </si>
  <si>
    <t>Стоимость груза (руб.)</t>
  </si>
  <si>
    <t>кг</t>
  </si>
  <si>
    <t>ПРАЙС-ЛИСТ на авиаперевозки</t>
  </si>
  <si>
    <t>ПРАЙС-ЛИСТ на Ж/Д перевозки</t>
  </si>
  <si>
    <t>ПРАЙС-ЛИСТ на автоэкспедирование</t>
  </si>
  <si>
    <t>Мест</t>
  </si>
  <si>
    <t>Направление</t>
  </si>
  <si>
    <t>Код АК</t>
  </si>
  <si>
    <t>а/п</t>
  </si>
  <si>
    <t>Мин.вес</t>
  </si>
  <si>
    <t>МИН.</t>
  </si>
  <si>
    <t>до 50кг</t>
  </si>
  <si>
    <t>СБОР</t>
  </si>
  <si>
    <t>руб/кг</t>
  </si>
  <si>
    <t>АБАКАН</t>
  </si>
  <si>
    <t>ВНК</t>
  </si>
  <si>
    <t>АНАДЫРЬ</t>
  </si>
  <si>
    <t>Е3,УН</t>
  </si>
  <si>
    <t>ДМД</t>
  </si>
  <si>
    <t>ГРУЗОВОЙ</t>
  </si>
  <si>
    <t>АНАПА</t>
  </si>
  <si>
    <t>С7</t>
  </si>
  <si>
    <r>
      <t>АПАТИТЫ</t>
    </r>
    <r>
      <rPr>
        <b/>
        <sz val="11"/>
        <color indexed="10"/>
        <rFont val="Arial Cyr"/>
        <family val="2"/>
      </rPr>
      <t>*</t>
    </r>
  </si>
  <si>
    <t>5Н</t>
  </si>
  <si>
    <t>ШРМ</t>
  </si>
  <si>
    <t>АРХАНГЕЛЬСК</t>
  </si>
  <si>
    <t>АСТРАХАНЬ</t>
  </si>
  <si>
    <t>БАРНАУЛ</t>
  </si>
  <si>
    <t>БЕЛОЯРСКИЙ</t>
  </si>
  <si>
    <t>НН</t>
  </si>
  <si>
    <t>БЛАГОВЕЩЕНСК</t>
  </si>
  <si>
    <t>БРАТСК</t>
  </si>
  <si>
    <t>БУГУЛЬМА</t>
  </si>
  <si>
    <t>БГ</t>
  </si>
  <si>
    <t>ВЛАДИВОСТОК</t>
  </si>
  <si>
    <t>УН</t>
  </si>
  <si>
    <t>ВЛАДИКАВКАЗ</t>
  </si>
  <si>
    <t>ВОЛГОГРАД</t>
  </si>
  <si>
    <t>ВОРОНЕЖ</t>
  </si>
  <si>
    <t>ПО</t>
  </si>
  <si>
    <t>ЕКАТЕРИНБУРГ</t>
  </si>
  <si>
    <t>ИЖЕВСК</t>
  </si>
  <si>
    <t>ИЖ</t>
  </si>
  <si>
    <t>ИРКУТСК</t>
  </si>
  <si>
    <t>КАЗАНЬ</t>
  </si>
  <si>
    <r>
      <t>КАЛИНИНГРАД</t>
    </r>
    <r>
      <rPr>
        <b/>
        <sz val="11"/>
        <color indexed="10"/>
        <rFont val="Arial Cyr"/>
        <family val="2"/>
      </rPr>
      <t>*</t>
    </r>
  </si>
  <si>
    <t>КЕМЕРОВО</t>
  </si>
  <si>
    <t>КОГАЛЫМ</t>
  </si>
  <si>
    <t>7К</t>
  </si>
  <si>
    <t>Комсомольск-на Амуре</t>
  </si>
  <si>
    <t>КРАСНОДАР</t>
  </si>
  <si>
    <t>КРАСНОЯРСК</t>
  </si>
  <si>
    <t>КУРГАН</t>
  </si>
  <si>
    <t>РГ</t>
  </si>
  <si>
    <t>МАГАДАН</t>
  </si>
  <si>
    <t>ЦК</t>
  </si>
  <si>
    <t>МАГНИТОГОРСК</t>
  </si>
  <si>
    <t>ЮТ</t>
  </si>
  <si>
    <t>МАХАЧКАЛА</t>
  </si>
  <si>
    <t>Минеральные воды</t>
  </si>
  <si>
    <t>МИРНЫЙ</t>
  </si>
  <si>
    <t>ЯМ</t>
  </si>
  <si>
    <t>МУРМАНСК</t>
  </si>
  <si>
    <r>
      <t>НАДЫМ</t>
    </r>
    <r>
      <rPr>
        <b/>
        <sz val="11"/>
        <color indexed="10"/>
        <rFont val="Arial Cyr"/>
        <family val="2"/>
      </rPr>
      <t>*</t>
    </r>
  </si>
  <si>
    <t>ЛА,С7</t>
  </si>
  <si>
    <t>НАЛЬЧИК</t>
  </si>
  <si>
    <t>НАРЬЯН-МАР</t>
  </si>
  <si>
    <t>НЕРЮНГРИ</t>
  </si>
  <si>
    <t>ЯК</t>
  </si>
  <si>
    <t>НИЖНЕВАРТОВСК</t>
  </si>
  <si>
    <t>НИЖНЕКАМСК</t>
  </si>
  <si>
    <t>НИЖНИЙ-НОВГОРОД</t>
  </si>
  <si>
    <t>НОВОКУЗНЕЦК</t>
  </si>
  <si>
    <t>НОВОСИБИРСК</t>
  </si>
  <si>
    <t>НОВЫЙ-УРЕНГОЙ</t>
  </si>
  <si>
    <t>НОЯБРЬСК</t>
  </si>
  <si>
    <t>НОРИЛЬСК</t>
  </si>
  <si>
    <t>НЯГАНЬ</t>
  </si>
  <si>
    <t>ОМСК</t>
  </si>
  <si>
    <t>ОРЕНБУРГ</t>
  </si>
  <si>
    <t>Р2</t>
  </si>
  <si>
    <t>ОРСК</t>
  </si>
  <si>
    <t>ПЕНЗА</t>
  </si>
  <si>
    <t>6В</t>
  </si>
  <si>
    <t>ПЕРМЬ</t>
  </si>
  <si>
    <t>П-КАМЧАТСКИЙ</t>
  </si>
  <si>
    <t>ПОЛЯРНЫЙ</t>
  </si>
  <si>
    <t>РОСТОВ-НА-ДОНУ</t>
  </si>
  <si>
    <r>
      <t>САЛЕХАРД</t>
    </r>
    <r>
      <rPr>
        <b/>
        <sz val="11"/>
        <color indexed="10"/>
        <rFont val="Arial Cyr"/>
        <family val="2"/>
      </rPr>
      <t>*</t>
    </r>
  </si>
  <si>
    <t>ЛА</t>
  </si>
  <si>
    <t>САМАРА</t>
  </si>
  <si>
    <t>САНКТ ПЕТЕРБУРГ</t>
  </si>
  <si>
    <t>САРАНСК</t>
  </si>
  <si>
    <t>ПМ</t>
  </si>
  <si>
    <t>САРАТОВ</t>
  </si>
  <si>
    <t>СОЧИ</t>
  </si>
  <si>
    <t>СОВЕТСКИЙ</t>
  </si>
  <si>
    <t>СТАВРОПОЛЬ</t>
  </si>
  <si>
    <t>МИ</t>
  </si>
  <si>
    <t>СУРГУТ</t>
  </si>
  <si>
    <t>СЫКТЫВКАР</t>
  </si>
  <si>
    <t>ТОМСК</t>
  </si>
  <si>
    <t>ЦК,Е3</t>
  </si>
  <si>
    <t>ТЮМЕНЬ</t>
  </si>
  <si>
    <t>УЛАН-УДЭ</t>
  </si>
  <si>
    <t>ЧЕРЕЗ ИКТ</t>
  </si>
  <si>
    <t>УЛЬЯНОВСК</t>
  </si>
  <si>
    <t>УСИНСК</t>
  </si>
  <si>
    <t>УФА</t>
  </si>
  <si>
    <t>УХТА</t>
  </si>
  <si>
    <t>ХАБАРОВСК</t>
  </si>
  <si>
    <t>СУ</t>
  </si>
  <si>
    <t>ХАНТЫ-МАНСИЙСК</t>
  </si>
  <si>
    <t>ЧЕЛЯБИНСК</t>
  </si>
  <si>
    <t>ЧИТА</t>
  </si>
  <si>
    <t>Ю-САХАЛИН</t>
  </si>
  <si>
    <t>ЯКУТСК</t>
  </si>
  <si>
    <r>
      <t>ЯМБУРГ</t>
    </r>
    <r>
      <rPr>
        <b/>
        <sz val="11"/>
        <color indexed="10"/>
        <rFont val="Arial Cyr"/>
        <family val="2"/>
      </rPr>
      <t>*</t>
    </r>
  </si>
  <si>
    <t>ОП</t>
  </si>
  <si>
    <t>Грузовая скорость</t>
  </si>
  <si>
    <t>время в пути (сут.)</t>
  </si>
  <si>
    <t>тариф руб/кг</t>
  </si>
  <si>
    <r>
      <t>тариф руб/м</t>
    </r>
    <r>
      <rPr>
        <b/>
        <i/>
        <vertAlign val="superscript"/>
        <sz val="12"/>
        <color indexed="63"/>
        <rFont val="Arial Cyr"/>
        <family val="2"/>
      </rPr>
      <t>3</t>
    </r>
  </si>
  <si>
    <t>6-8</t>
  </si>
  <si>
    <t>------</t>
  </si>
  <si>
    <t>3-5</t>
  </si>
  <si>
    <t>3-4</t>
  </si>
  <si>
    <t>4-6</t>
  </si>
  <si>
    <t>7-9</t>
  </si>
  <si>
    <t>11-12</t>
  </si>
  <si>
    <t>БИРОБИДЖАН*</t>
  </si>
  <si>
    <t>БЛАГОВЕЩЕНСК*</t>
  </si>
  <si>
    <t>ВЛАДИВОСТОК*</t>
  </si>
  <si>
    <t>10-11</t>
  </si>
  <si>
    <t>17-18</t>
  </si>
  <si>
    <t>2-3</t>
  </si>
  <si>
    <t>6-7</t>
  </si>
  <si>
    <t>ИРКУТСК*</t>
  </si>
  <si>
    <t xml:space="preserve">7 </t>
  </si>
  <si>
    <t>11-13</t>
  </si>
  <si>
    <t>5-6</t>
  </si>
  <si>
    <t>КИРОВ</t>
  </si>
  <si>
    <t>Комсомольск-на-Амуре</t>
  </si>
  <si>
    <t xml:space="preserve">3 </t>
  </si>
  <si>
    <t>КРАСНОЯРСК*</t>
  </si>
  <si>
    <t>5-7</t>
  </si>
  <si>
    <t>4-5</t>
  </si>
  <si>
    <t>8-9</t>
  </si>
  <si>
    <t>НОВОСИБИРСК*</t>
  </si>
  <si>
    <t>7-8</t>
  </si>
  <si>
    <t>ОМСК*</t>
  </si>
  <si>
    <t>1-2</t>
  </si>
  <si>
    <t>ТАЙШЕТ*</t>
  </si>
  <si>
    <t>ТОЛЬЯТТИ</t>
  </si>
  <si>
    <t>9-10</t>
  </si>
  <si>
    <t>ТУЛА</t>
  </si>
  <si>
    <t>ХАБАРОВСК*</t>
  </si>
  <si>
    <t>16-17</t>
  </si>
  <si>
    <t>ЧИТА*</t>
  </si>
  <si>
    <t>ЯРОСЛАВЛЬ</t>
  </si>
  <si>
    <r>
      <t>1.</t>
    </r>
    <r>
      <rPr>
        <b/>
        <sz val="10"/>
        <rFont val="Arial Cyr"/>
        <family val="0"/>
      </rPr>
      <t xml:space="preserve"> </t>
    </r>
  </si>
  <si>
    <r>
      <t xml:space="preserve">     </t>
    </r>
    <r>
      <rPr>
        <b/>
        <sz val="10"/>
        <color indexed="53"/>
        <rFont val="Arial Cyr"/>
        <family val="0"/>
      </rPr>
      <t>2.</t>
    </r>
  </si>
  <si>
    <r>
      <t>3.</t>
    </r>
    <r>
      <rPr>
        <b/>
        <sz val="10"/>
        <rFont val="Arial Cyr"/>
        <family val="0"/>
      </rPr>
      <t xml:space="preserve"> </t>
    </r>
  </si>
  <si>
    <r>
      <t>5.</t>
    </r>
    <r>
      <rPr>
        <b/>
        <sz val="10"/>
        <rFont val="Arial Cyr"/>
        <family val="0"/>
      </rPr>
      <t xml:space="preserve"> </t>
    </r>
  </si>
  <si>
    <t>Ж/Д багажная скорость</t>
  </si>
  <si>
    <t>кол-во адресов</t>
  </si>
  <si>
    <r>
      <t>4.</t>
    </r>
    <r>
      <rPr>
        <b/>
        <sz val="10"/>
        <rFont val="Arial Cyr"/>
        <family val="0"/>
      </rPr>
      <t xml:space="preserve"> </t>
    </r>
  </si>
  <si>
    <t>6.</t>
  </si>
  <si>
    <t>7.</t>
  </si>
  <si>
    <t>8.</t>
  </si>
  <si>
    <t>9.</t>
  </si>
  <si>
    <r>
      <t>10.</t>
    </r>
    <r>
      <rPr>
        <b/>
        <sz val="10"/>
        <rFont val="Arial Cyr"/>
        <family val="0"/>
      </rPr>
      <t xml:space="preserve"> </t>
    </r>
  </si>
  <si>
    <t>НЕТ</t>
  </si>
  <si>
    <t>Маркеры для страховки</t>
  </si>
  <si>
    <t>Вид перевозки</t>
  </si>
  <si>
    <t>Страхование груза 0,7% от заявленной стоимости  груза</t>
  </si>
  <si>
    <t>Сбор груза более 1-го адреса</t>
  </si>
  <si>
    <t>Платный въезд</t>
  </si>
  <si>
    <t>АПАТИТЫ</t>
  </si>
  <si>
    <t>БЕЛОГОРСК</t>
  </si>
  <si>
    <t>БИРОБИДЖАН</t>
  </si>
  <si>
    <t>КАЛИНИНГРАД</t>
  </si>
  <si>
    <t>НАДЫМ</t>
  </si>
  <si>
    <t>САЛЕХАРД</t>
  </si>
  <si>
    <t>ТАЙШЕТ</t>
  </si>
  <si>
    <t>ТОЛЬЯТИ</t>
  </si>
  <si>
    <t>ЯМБУРГ</t>
  </si>
  <si>
    <t>МЕШОК (120Х160СМ) + ПЛОМБА</t>
  </si>
  <si>
    <t>ОБРЕШЁТКА (для Ж/Д перевозки)</t>
  </si>
  <si>
    <t>Выбор Города</t>
  </si>
  <si>
    <t>Доп. Упаковка</t>
  </si>
  <si>
    <t>Транзитная обработка</t>
  </si>
  <si>
    <t>Экспресс отправка</t>
  </si>
  <si>
    <t>Тепло</t>
  </si>
  <si>
    <t>Мягкая мебель</t>
  </si>
  <si>
    <t>Автоэкспедирование</t>
  </si>
  <si>
    <t>Документы</t>
  </si>
  <si>
    <t>Погрузка-разгрузка</t>
  </si>
  <si>
    <t>МКАД</t>
  </si>
  <si>
    <t>51-100кг</t>
  </si>
  <si>
    <t>101-300кг</t>
  </si>
  <si>
    <t>301-500кг</t>
  </si>
  <si>
    <t>501-1000кг</t>
  </si>
  <si>
    <t>Вес к оплате АВИА</t>
  </si>
  <si>
    <t>Расчёт АВИА доставки</t>
  </si>
  <si>
    <t>Проверка АВИА или 2 вида Ж/Д</t>
  </si>
  <si>
    <t>Вес/объём к оплате Ж/Д</t>
  </si>
  <si>
    <t>Расчёт Ж/Д 1</t>
  </si>
  <si>
    <t>Расчёт Ж/Д 2</t>
  </si>
  <si>
    <t>Авиа</t>
  </si>
  <si>
    <t>Ж/Д 1</t>
  </si>
  <si>
    <t>Ж/Д 2</t>
  </si>
  <si>
    <t>Объём/вес/мин</t>
  </si>
  <si>
    <t>НЕГАБАРИТ !</t>
  </si>
  <si>
    <t>Проверка на города расчёт</t>
  </si>
  <si>
    <t>Проверка на города "ГОРОД"</t>
  </si>
  <si>
    <t>Проверка на вес=0, объём=0</t>
  </si>
  <si>
    <t>МИН. ВОДЫ</t>
  </si>
  <si>
    <t>КОМСОМ.-НА-АМУРЕ</t>
  </si>
  <si>
    <t>Проверка негабарит Ж/Д</t>
  </si>
  <si>
    <t xml:space="preserve"> </t>
  </si>
  <si>
    <t>Пояснения для АВИА</t>
  </si>
  <si>
    <t>Тариф АВИА</t>
  </si>
  <si>
    <t>Проверка для пояснений АВИА иЖ/Д</t>
  </si>
  <si>
    <t>ПЛЁНКА+ОКАНТОВКА (для АВИА)</t>
  </si>
  <si>
    <t>Пояснения для АВТОЭКСПЕДИШН</t>
  </si>
  <si>
    <t>ПГР Иркутск</t>
  </si>
  <si>
    <t>Тариф Ж/Д 1</t>
  </si>
  <si>
    <t>Пояснения для Ж/Д (1-я строчка)</t>
  </si>
  <si>
    <t>Вес/объём Ж/Д</t>
  </si>
  <si>
    <t>Пояснения для Ж/Д (2-я строчка)</t>
  </si>
  <si>
    <t>Проверка Ж/Д 1/2 вес-объём</t>
  </si>
  <si>
    <t>Проверка Ж/Д 1/2 тариф</t>
  </si>
  <si>
    <t>Сроки Ж/Д</t>
  </si>
  <si>
    <t>Срок доставки</t>
  </si>
  <si>
    <t>УН/СУ</t>
  </si>
  <si>
    <t>ЖИ</t>
  </si>
  <si>
    <t>нет</t>
  </si>
  <si>
    <t>КЕМЕРОВО*</t>
  </si>
  <si>
    <t>НОВОКУЗНЕЦК*</t>
  </si>
  <si>
    <t>ТОМСК*</t>
  </si>
  <si>
    <t>XF</t>
  </si>
  <si>
    <t>УРАЙ</t>
  </si>
  <si>
    <t>C7</t>
  </si>
  <si>
    <t>Тарифы на авиаперевозки из г. Москва от 04.09.09</t>
  </si>
  <si>
    <t>оформить заявку</t>
  </si>
  <si>
    <t>Ю-САХАЛИНСК</t>
  </si>
  <si>
    <t>6 - 8</t>
  </si>
  <si>
    <t>4 - 7</t>
  </si>
  <si>
    <t>2 - 4</t>
  </si>
  <si>
    <t>4 - 5</t>
  </si>
  <si>
    <t>БЕЛОГОРСК*</t>
  </si>
  <si>
    <t>8 - 10</t>
  </si>
  <si>
    <t>10 - 12</t>
  </si>
  <si>
    <t>2 - 3</t>
  </si>
  <si>
    <t>5 - 7</t>
  </si>
  <si>
    <t>3 - 4</t>
  </si>
  <si>
    <t>САНКТ-ПЕТЕРБУРГ*</t>
  </si>
  <si>
    <t>3 - 5</t>
  </si>
  <si>
    <t>4 - 6</t>
  </si>
  <si>
    <t>УЛАН-УДЭ*</t>
  </si>
  <si>
    <t>5 - 6</t>
  </si>
  <si>
    <t>14-17</t>
  </si>
  <si>
    <t>С7 ЧЕРЕЗ ХБР</t>
  </si>
  <si>
    <t>С7, У6</t>
  </si>
  <si>
    <t>С7, ЮК</t>
  </si>
  <si>
    <t>У9</t>
  </si>
  <si>
    <t>С7, УН</t>
  </si>
  <si>
    <t>ГЗП</t>
  </si>
  <si>
    <t>С7,У6</t>
  </si>
  <si>
    <t>ЮХ</t>
  </si>
  <si>
    <t>5N</t>
  </si>
  <si>
    <t>Тарифы на железнодорожные перевозки из г. Москва от 27.01.10</t>
  </si>
  <si>
    <t>Багажная скорость</t>
  </si>
  <si>
    <t>мин. оплата (руб.)</t>
  </si>
  <si>
    <t>13-15</t>
  </si>
  <si>
    <t>3800</t>
  </si>
  <si>
    <t>1850</t>
  </si>
  <si>
    <r>
      <t>ПОЛЯРНЫЙ</t>
    </r>
    <r>
      <rPr>
        <b/>
        <sz val="11"/>
        <color indexed="10"/>
        <rFont val="Arial Cyr"/>
        <family val="2"/>
      </rPr>
      <t>*</t>
    </r>
  </si>
  <si>
    <t>2350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</si>
</sst>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;[Red]0.00"/>
    <numFmt numFmtId="169" formatCode="#"/>
    <numFmt numFmtId="170" formatCode="#,##0&quot;р.&quot;;[Red]#,##0&quot;р.&quot;"/>
    <numFmt numFmtId="171" formatCode="#,##0&quot;р.&quot;"/>
    <numFmt numFmtId="172" formatCode="#,##0.0&quot;р.&quot;;[Red]#,##0.0&quot;р.&quot;"/>
    <numFmt numFmtId="173" formatCode="#,##0.00&quot;р.&quot;;[Red]#,##0.00&quot;р.&quot;"/>
    <numFmt numFmtId="174" formatCode="#,##0.00&quot;р.&quot;"/>
    <numFmt numFmtId="175" formatCode="0.0"/>
    <numFmt numFmtId="176" formatCode="0.000"/>
    <numFmt numFmtId="177" formatCode="0.0000"/>
    <numFmt numFmtId="178" formatCode="0.00000"/>
  </numFmts>
  <fonts count="90">
    <font>
      <sz val="10"/>
      <name val="Arial Cyr"/>
      <family val="0"/>
    </font>
    <font>
      <b/>
      <i/>
      <sz val="14"/>
      <color indexed="63"/>
      <name val="Arial Cyr"/>
      <family val="0"/>
    </font>
    <font>
      <b/>
      <sz val="10"/>
      <color indexed="53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5"/>
      <name val="Arial Cyr"/>
      <family val="0"/>
    </font>
    <font>
      <b/>
      <sz val="8"/>
      <name val="Arial Cyr"/>
      <family val="0"/>
    </font>
    <font>
      <b/>
      <vertAlign val="superscript"/>
      <sz val="8"/>
      <name val="Arial Cyr"/>
      <family val="0"/>
    </font>
    <font>
      <b/>
      <sz val="5"/>
      <name val="Arial Cyr"/>
      <family val="0"/>
    </font>
    <font>
      <sz val="10"/>
      <color indexed="63"/>
      <name val="Arial Cyr"/>
      <family val="0"/>
    </font>
    <font>
      <b/>
      <i/>
      <sz val="10"/>
      <color indexed="63"/>
      <name val="Arial Cyr"/>
      <family val="0"/>
    </font>
    <font>
      <sz val="8"/>
      <name val="Arial Cyr"/>
      <family val="0"/>
    </font>
    <font>
      <b/>
      <sz val="9"/>
      <color indexed="55"/>
      <name val="Arial Cyr"/>
      <family val="0"/>
    </font>
    <font>
      <b/>
      <sz val="8"/>
      <color indexed="55"/>
      <name val="Arial Cyr"/>
      <family val="0"/>
    </font>
    <font>
      <b/>
      <i/>
      <sz val="12"/>
      <color indexed="53"/>
      <name val="Arial"/>
      <family val="2"/>
    </font>
    <font>
      <b/>
      <sz val="5"/>
      <color indexed="55"/>
      <name val="Arial Cyr"/>
      <family val="0"/>
    </font>
    <font>
      <b/>
      <i/>
      <sz val="5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u val="single"/>
      <sz val="11"/>
      <color indexed="53"/>
      <name val="Arial"/>
      <family val="2"/>
    </font>
    <font>
      <sz val="11"/>
      <name val="Arial Cyr"/>
      <family val="0"/>
    </font>
    <font>
      <b/>
      <sz val="9"/>
      <color indexed="23"/>
      <name val="Arial Cyr"/>
      <family val="0"/>
    </font>
    <font>
      <sz val="8"/>
      <name val="Tahoma"/>
      <family val="2"/>
    </font>
    <font>
      <b/>
      <i/>
      <sz val="18"/>
      <name val="Arial Cyr"/>
      <family val="2"/>
    </font>
    <font>
      <b/>
      <i/>
      <sz val="12"/>
      <color indexed="63"/>
      <name val="Arial Cyr"/>
      <family val="2"/>
    </font>
    <font>
      <b/>
      <sz val="11"/>
      <name val="Arial Cyr"/>
      <family val="2"/>
    </font>
    <font>
      <b/>
      <sz val="11"/>
      <color indexed="10"/>
      <name val="Arial Cyr"/>
      <family val="2"/>
    </font>
    <font>
      <b/>
      <i/>
      <vertAlign val="superscript"/>
      <sz val="12"/>
      <color indexed="63"/>
      <name val="Arial Cyr"/>
      <family val="2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b/>
      <sz val="8"/>
      <name val="Tahoma"/>
      <family val="2"/>
    </font>
    <font>
      <b/>
      <sz val="10"/>
      <color indexed="10"/>
      <name val="Times New Roman"/>
      <family val="1"/>
    </font>
    <font>
      <b/>
      <sz val="10"/>
      <color indexed="63"/>
      <name val="Arial Cyr"/>
      <family val="0"/>
    </font>
    <font>
      <b/>
      <i/>
      <sz val="11"/>
      <color indexed="63"/>
      <name val="Arial Cyr"/>
      <family val="0"/>
    </font>
    <font>
      <sz val="9"/>
      <name val="Arial Cyr"/>
      <family val="0"/>
    </font>
    <font>
      <b/>
      <sz val="8"/>
      <color indexed="10"/>
      <name val="Arial Cyr"/>
      <family val="0"/>
    </font>
    <font>
      <b/>
      <sz val="8"/>
      <color indexed="12"/>
      <name val="Arial Cyr"/>
      <family val="0"/>
    </font>
    <font>
      <sz val="8"/>
      <color indexed="10"/>
      <name val="Arial Cyr"/>
      <family val="0"/>
    </font>
    <font>
      <sz val="10"/>
      <color indexed="10"/>
      <name val="Arial Cyr"/>
      <family val="0"/>
    </font>
    <font>
      <b/>
      <i/>
      <sz val="13"/>
      <color indexed="63"/>
      <name val="Arial Cyr"/>
      <family val="0"/>
    </font>
    <font>
      <b/>
      <i/>
      <sz val="11"/>
      <color indexed="53"/>
      <name val="Tahoma"/>
      <family val="2"/>
    </font>
    <font>
      <sz val="13"/>
      <name val="Arial Cyr"/>
      <family val="0"/>
    </font>
    <font>
      <b/>
      <sz val="13"/>
      <name val="Arial Cyr"/>
      <family val="0"/>
    </font>
    <font>
      <b/>
      <sz val="10"/>
      <color indexed="63"/>
      <name val="Tahoma"/>
      <family val="2"/>
    </font>
    <font>
      <b/>
      <sz val="13"/>
      <color indexed="53"/>
      <name val="Tahoma"/>
      <family val="2"/>
    </font>
    <font>
      <b/>
      <sz val="12"/>
      <color indexed="63"/>
      <name val="Arial"/>
      <family val="2"/>
    </font>
    <font>
      <b/>
      <sz val="6"/>
      <color indexed="12"/>
      <name val="Arial Cyr"/>
      <family val="0"/>
    </font>
    <font>
      <b/>
      <sz val="13"/>
      <color indexed="63"/>
      <name val="Arial"/>
      <family val="2"/>
    </font>
    <font>
      <b/>
      <sz val="10"/>
      <color indexed="17"/>
      <name val="Arial Cyr"/>
      <family val="0"/>
    </font>
    <font>
      <b/>
      <u val="single"/>
      <sz val="10"/>
      <color indexed="53"/>
      <name val="Tahoma"/>
      <family val="2"/>
    </font>
    <font>
      <i/>
      <sz val="10"/>
      <color indexed="63"/>
      <name val="Arial Cyr"/>
      <family val="0"/>
    </font>
    <font>
      <b/>
      <i/>
      <u val="single"/>
      <sz val="12"/>
      <color indexed="63"/>
      <name val="Arial Cyr"/>
      <family val="0"/>
    </font>
    <font>
      <b/>
      <i/>
      <u val="single"/>
      <sz val="12"/>
      <color indexed="63"/>
      <name val="Arial"/>
      <family val="2"/>
    </font>
    <font>
      <b/>
      <sz val="10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gray0625">
        <bgColor indexed="22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1" applyNumberFormat="0" applyAlignment="0" applyProtection="0"/>
    <xf numFmtId="0" fontId="76" fillId="27" borderId="2" applyNumberFormat="0" applyAlignment="0" applyProtection="0"/>
    <xf numFmtId="0" fontId="77" fillId="27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8" borderId="7" applyNumberFormat="0" applyAlignment="0" applyProtection="0"/>
    <xf numFmtId="0" fontId="83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85" fillId="30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9" fillId="32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15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24" fillId="34" borderId="0" xfId="0" applyFont="1" applyFill="1" applyBorder="1" applyAlignment="1">
      <alignment horizontal="center"/>
    </xf>
    <xf numFmtId="0" fontId="24" fillId="34" borderId="12" xfId="0" applyFont="1" applyFill="1" applyBorder="1" applyAlignment="1">
      <alignment horizontal="center"/>
    </xf>
    <xf numFmtId="0" fontId="24" fillId="34" borderId="13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left" vertical="center" indent="1"/>
    </xf>
    <xf numFmtId="0" fontId="25" fillId="0" borderId="13" xfId="0" applyFont="1" applyFill="1" applyBorder="1" applyAlignment="1">
      <alignment horizontal="center"/>
    </xf>
    <xf numFmtId="0" fontId="25" fillId="0" borderId="14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24" fillId="34" borderId="12" xfId="0" applyFont="1" applyFill="1" applyBorder="1" applyAlignment="1">
      <alignment horizontal="center" vertical="center" wrapText="1"/>
    </xf>
    <xf numFmtId="0" fontId="24" fillId="34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left" indent="1"/>
    </xf>
    <xf numFmtId="49" fontId="25" fillId="0" borderId="18" xfId="0" applyNumberFormat="1" applyFont="1" applyFill="1" applyBorder="1" applyAlignment="1">
      <alignment horizontal="center"/>
    </xf>
    <xf numFmtId="168" fontId="25" fillId="0" borderId="13" xfId="0" applyNumberFormat="1" applyFont="1" applyFill="1" applyBorder="1" applyAlignment="1">
      <alignment horizontal="center"/>
    </xf>
    <xf numFmtId="49" fontId="25" fillId="0" borderId="13" xfId="0" applyNumberFormat="1" applyFont="1" applyFill="1" applyBorder="1" applyAlignment="1">
      <alignment horizontal="center"/>
    </xf>
    <xf numFmtId="0" fontId="25" fillId="0" borderId="13" xfId="0" applyNumberFormat="1" applyFont="1" applyFill="1" applyBorder="1" applyAlignment="1">
      <alignment horizontal="center"/>
    </xf>
    <xf numFmtId="2" fontId="25" fillId="0" borderId="13" xfId="0" applyNumberFormat="1" applyFont="1" applyFill="1" applyBorder="1" applyAlignment="1">
      <alignment horizontal="center"/>
    </xf>
    <xf numFmtId="0" fontId="25" fillId="0" borderId="18" xfId="0" applyNumberFormat="1" applyFont="1" applyFill="1" applyBorder="1" applyAlignment="1">
      <alignment horizontal="center"/>
    </xf>
    <xf numFmtId="169" fontId="25" fillId="0" borderId="13" xfId="0" applyNumberFormat="1" applyFont="1" applyFill="1" applyBorder="1" applyAlignment="1">
      <alignment horizontal="center"/>
    </xf>
    <xf numFmtId="170" fontId="25" fillId="0" borderId="13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13" fillId="33" borderId="0" xfId="0" applyFont="1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35" borderId="19" xfId="0" applyFont="1" applyFill="1" applyBorder="1" applyAlignment="1" applyProtection="1">
      <alignment horizontal="center"/>
      <protection locked="0"/>
    </xf>
    <xf numFmtId="0" fontId="16" fillId="35" borderId="20" xfId="0" applyFont="1" applyFill="1" applyBorder="1" applyAlignment="1" applyProtection="1">
      <alignment/>
      <protection hidden="1"/>
    </xf>
    <xf numFmtId="0" fontId="14" fillId="35" borderId="21" xfId="0" applyFont="1" applyFill="1" applyBorder="1" applyAlignment="1" applyProtection="1">
      <alignment/>
      <protection hidden="1"/>
    </xf>
    <xf numFmtId="0" fontId="5" fillId="35" borderId="22" xfId="0" applyFont="1" applyFill="1" applyBorder="1" applyAlignment="1" applyProtection="1">
      <alignment/>
      <protection hidden="1"/>
    </xf>
    <xf numFmtId="0" fontId="9" fillId="35" borderId="21" xfId="0" applyFont="1" applyFill="1" applyBorder="1" applyAlignment="1" applyProtection="1">
      <alignment/>
      <protection hidden="1"/>
    </xf>
    <xf numFmtId="0" fontId="9" fillId="35" borderId="23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0" fillId="35" borderId="11" xfId="0" applyFill="1" applyBorder="1" applyAlignment="1" applyProtection="1">
      <alignment/>
      <protection hidden="1"/>
    </xf>
    <xf numFmtId="0" fontId="5" fillId="35" borderId="24" xfId="0" applyFont="1" applyFill="1" applyBorder="1" applyAlignment="1" applyProtection="1">
      <alignment/>
      <protection hidden="1"/>
    </xf>
    <xf numFmtId="0" fontId="1" fillId="35" borderId="10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1" fillId="35" borderId="20" xfId="0" applyFont="1" applyFill="1" applyBorder="1" applyAlignment="1">
      <alignment horizontal="center"/>
    </xf>
    <xf numFmtId="0" fontId="1" fillId="35" borderId="24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28" fillId="0" borderId="0" xfId="0" applyFont="1" applyAlignment="1">
      <alignment/>
    </xf>
    <xf numFmtId="0" fontId="28" fillId="0" borderId="0" xfId="0" applyFont="1" applyAlignment="1" applyProtection="1">
      <alignment/>
      <protection hidden="1" locked="0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right"/>
    </xf>
    <xf numFmtId="0" fontId="29" fillId="0" borderId="0" xfId="0" applyFont="1" applyAlignment="1">
      <alignment horizontal="right"/>
    </xf>
    <xf numFmtId="0" fontId="25" fillId="0" borderId="25" xfId="0" applyFont="1" applyFill="1" applyBorder="1" applyAlignment="1">
      <alignment horizontal="left" vertical="center" indent="1"/>
    </xf>
    <xf numFmtId="0" fontId="25" fillId="0" borderId="26" xfId="0" applyFont="1" applyFill="1" applyBorder="1" applyAlignment="1">
      <alignment horizontal="center"/>
    </xf>
    <xf numFmtId="0" fontId="24" fillId="34" borderId="27" xfId="0" applyFont="1" applyFill="1" applyBorder="1" applyAlignment="1">
      <alignment horizontal="center"/>
    </xf>
    <xf numFmtId="0" fontId="24" fillId="34" borderId="28" xfId="0" applyFont="1" applyFill="1" applyBorder="1" applyAlignment="1">
      <alignment horizontal="center"/>
    </xf>
    <xf numFmtId="0" fontId="24" fillId="34" borderId="29" xfId="0" applyFont="1" applyFill="1" applyBorder="1" applyAlignment="1">
      <alignment horizontal="center"/>
    </xf>
    <xf numFmtId="0" fontId="28" fillId="0" borderId="30" xfId="0" applyFont="1" applyBorder="1" applyAlignment="1">
      <alignment/>
    </xf>
    <xf numFmtId="0" fontId="31" fillId="36" borderId="0" xfId="0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3" fillId="37" borderId="0" xfId="0" applyFont="1" applyFill="1" applyAlignment="1">
      <alignment/>
    </xf>
    <xf numFmtId="0" fontId="28" fillId="37" borderId="0" xfId="0" applyFont="1" applyFill="1" applyAlignment="1">
      <alignment horizontal="center"/>
    </xf>
    <xf numFmtId="1" fontId="29" fillId="0" borderId="0" xfId="0" applyNumberFormat="1" applyFont="1" applyAlignment="1">
      <alignment horizontal="center"/>
    </xf>
    <xf numFmtId="1" fontId="28" fillId="0" borderId="0" xfId="0" applyNumberFormat="1" applyFont="1" applyAlignment="1">
      <alignment horizontal="center"/>
    </xf>
    <xf numFmtId="0" fontId="29" fillId="0" borderId="0" xfId="0" applyFont="1" applyFill="1" applyAlignment="1">
      <alignment horizontal="center"/>
    </xf>
    <xf numFmtId="0" fontId="34" fillId="0" borderId="0" xfId="0" applyFont="1" applyAlignment="1">
      <alignment/>
    </xf>
    <xf numFmtId="0" fontId="26" fillId="0" borderId="0" xfId="0" applyFont="1" applyAlignment="1">
      <alignment horizontal="left"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0" fillId="38" borderId="31" xfId="0" applyFill="1" applyBorder="1" applyAlignment="1" applyProtection="1">
      <alignment/>
      <protection/>
    </xf>
    <xf numFmtId="0" fontId="0" fillId="38" borderId="21" xfId="0" applyFill="1" applyBorder="1" applyAlignment="1" applyProtection="1">
      <alignment/>
      <protection/>
    </xf>
    <xf numFmtId="0" fontId="0" fillId="38" borderId="23" xfId="0" applyFill="1" applyBorder="1" applyAlignment="1" applyProtection="1">
      <alignment/>
      <protection/>
    </xf>
    <xf numFmtId="0" fontId="0" fillId="38" borderId="0" xfId="0" applyFill="1" applyBorder="1" applyAlignment="1" applyProtection="1">
      <alignment/>
      <protection/>
    </xf>
    <xf numFmtId="44" fontId="2" fillId="38" borderId="0" xfId="0" applyNumberFormat="1" applyFont="1" applyFill="1" applyBorder="1" applyAlignment="1">
      <alignment/>
    </xf>
    <xf numFmtId="0" fontId="0" fillId="38" borderId="0" xfId="0" applyFill="1" applyBorder="1" applyAlignment="1">
      <alignment/>
    </xf>
    <xf numFmtId="0" fontId="0" fillId="38" borderId="11" xfId="0" applyFill="1" applyBorder="1" applyAlignment="1" applyProtection="1">
      <alignment/>
      <protection/>
    </xf>
    <xf numFmtId="0" fontId="0" fillId="38" borderId="0" xfId="0" applyFill="1" applyAlignment="1" applyProtection="1">
      <alignment/>
      <protection locked="0"/>
    </xf>
    <xf numFmtId="0" fontId="0" fillId="38" borderId="20" xfId="0" applyFill="1" applyBorder="1" applyAlignment="1">
      <alignment/>
    </xf>
    <xf numFmtId="0" fontId="19" fillId="38" borderId="22" xfId="42" applyFont="1" applyFill="1" applyBorder="1" applyAlignment="1" applyProtection="1">
      <alignment/>
      <protection/>
    </xf>
    <xf numFmtId="0" fontId="0" fillId="38" borderId="22" xfId="0" applyFill="1" applyBorder="1" applyAlignment="1">
      <alignment/>
    </xf>
    <xf numFmtId="0" fontId="35" fillId="37" borderId="0" xfId="0" applyFont="1" applyFill="1" applyAlignment="1">
      <alignment horizontal="center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6" fillId="0" borderId="0" xfId="0" applyFont="1" applyAlignment="1">
      <alignment horizontal="center"/>
    </xf>
    <xf numFmtId="0" fontId="10" fillId="35" borderId="10" xfId="0" applyFont="1" applyFill="1" applyBorder="1" applyAlignment="1" applyProtection="1">
      <alignment horizontal="left" vertical="center" indent="2"/>
      <protection hidden="1"/>
    </xf>
    <xf numFmtId="0" fontId="3" fillId="0" borderId="0" xfId="0" applyFont="1" applyAlignment="1">
      <alignment vertical="center"/>
    </xf>
    <xf numFmtId="0" fontId="38" fillId="0" borderId="0" xfId="0" applyFont="1" applyFill="1" applyAlignment="1">
      <alignment/>
    </xf>
    <xf numFmtId="0" fontId="0" fillId="0" borderId="0" xfId="0" applyFont="1" applyAlignment="1">
      <alignment/>
    </xf>
    <xf numFmtId="0" fontId="28" fillId="0" borderId="0" xfId="0" applyFont="1" applyAlignment="1">
      <alignment horizontal="left"/>
    </xf>
    <xf numFmtId="0" fontId="20" fillId="35" borderId="0" xfId="0" applyFont="1" applyFill="1" applyAlignment="1">
      <alignment/>
    </xf>
    <xf numFmtId="0" fontId="33" fillId="35" borderId="10" xfId="0" applyFont="1" applyFill="1" applyBorder="1" applyAlignment="1">
      <alignment horizontal="center"/>
    </xf>
    <xf numFmtId="0" fontId="33" fillId="35" borderId="0" xfId="0" applyFont="1" applyFill="1" applyBorder="1" applyAlignment="1">
      <alignment horizontal="center"/>
    </xf>
    <xf numFmtId="0" fontId="33" fillId="35" borderId="0" xfId="0" applyFont="1" applyFill="1" applyBorder="1" applyAlignment="1">
      <alignment/>
    </xf>
    <xf numFmtId="170" fontId="40" fillId="35" borderId="0" xfId="0" applyNumberFormat="1" applyFont="1" applyFill="1" applyBorder="1" applyAlignment="1">
      <alignment horizontal="center"/>
    </xf>
    <xf numFmtId="0" fontId="33" fillId="35" borderId="11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39" fillId="35" borderId="10" xfId="0" applyFont="1" applyFill="1" applyBorder="1" applyAlignment="1">
      <alignment horizontal="center"/>
    </xf>
    <xf numFmtId="0" fontId="39" fillId="35" borderId="0" xfId="0" applyFont="1" applyFill="1" applyBorder="1" applyAlignment="1">
      <alignment horizontal="center"/>
    </xf>
    <xf numFmtId="0" fontId="41" fillId="35" borderId="0" xfId="0" applyFont="1" applyFill="1" applyAlignment="1">
      <alignment/>
    </xf>
    <xf numFmtId="0" fontId="39" fillId="35" borderId="11" xfId="0" applyFont="1" applyFill="1" applyBorder="1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Fill="1" applyAlignment="1">
      <alignment/>
    </xf>
    <xf numFmtId="170" fontId="44" fillId="35" borderId="0" xfId="0" applyNumberFormat="1" applyFont="1" applyFill="1" applyBorder="1" applyAlignment="1">
      <alignment horizontal="center" vertical="center"/>
    </xf>
    <xf numFmtId="0" fontId="47" fillId="35" borderId="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/>
    </xf>
    <xf numFmtId="0" fontId="10" fillId="0" borderId="32" xfId="0" applyFont="1" applyFill="1" applyBorder="1" applyAlignment="1">
      <alignment horizontal="center" vertical="center" wrapText="1"/>
    </xf>
    <xf numFmtId="0" fontId="28" fillId="37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41" fillId="0" borderId="0" xfId="0" applyNumberFormat="1" applyFont="1" applyFill="1" applyAlignment="1">
      <alignment horizontal="center"/>
    </xf>
    <xf numFmtId="2" fontId="20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2" fontId="0" fillId="0" borderId="0" xfId="0" applyNumberFormat="1" applyFill="1" applyAlignment="1" applyProtection="1">
      <alignment horizontal="center"/>
      <protection locked="0"/>
    </xf>
    <xf numFmtId="2" fontId="5" fillId="0" borderId="0" xfId="0" applyNumberFormat="1" applyFont="1" applyFill="1" applyAlignment="1" applyProtection="1">
      <alignment horizontal="center"/>
      <protection locked="0"/>
    </xf>
    <xf numFmtId="2" fontId="23" fillId="0" borderId="0" xfId="0" applyNumberFormat="1" applyFont="1" applyFill="1" applyBorder="1" applyAlignment="1">
      <alignment horizontal="center"/>
    </xf>
    <xf numFmtId="2" fontId="24" fillId="0" borderId="0" xfId="0" applyNumberFormat="1" applyFont="1" applyFill="1" applyBorder="1" applyAlignment="1">
      <alignment horizontal="center"/>
    </xf>
    <xf numFmtId="2" fontId="24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49" fillId="35" borderId="0" xfId="0" applyFont="1" applyFill="1" applyBorder="1" applyAlignment="1">
      <alignment/>
    </xf>
    <xf numFmtId="1" fontId="0" fillId="0" borderId="0" xfId="0" applyNumberFormat="1" applyFill="1" applyAlignment="1">
      <alignment horizontal="center"/>
    </xf>
    <xf numFmtId="0" fontId="28" fillId="0" borderId="0" xfId="0" applyFont="1" applyAlignment="1" applyProtection="1">
      <alignment horizontal="right"/>
      <protection hidden="1" locked="0"/>
    </xf>
    <xf numFmtId="0" fontId="46" fillId="0" borderId="0" xfId="0" applyFont="1" applyAlignment="1" applyProtection="1">
      <alignment horizontal="right"/>
      <protection hidden="1" locked="0"/>
    </xf>
    <xf numFmtId="0" fontId="28" fillId="0" borderId="0" xfId="0" applyFont="1" applyAlignment="1" applyProtection="1">
      <alignment horizontal="center"/>
      <protection hidden="1" locked="0"/>
    </xf>
    <xf numFmtId="0" fontId="0" fillId="0" borderId="0" xfId="0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0" fillId="38" borderId="0" xfId="0" applyFill="1" applyAlignment="1" applyProtection="1">
      <alignment/>
      <protection/>
    </xf>
    <xf numFmtId="0" fontId="0" fillId="38" borderId="22" xfId="0" applyFill="1" applyBorder="1" applyAlignment="1" applyProtection="1">
      <alignment/>
      <protection/>
    </xf>
    <xf numFmtId="0" fontId="0" fillId="38" borderId="24" xfId="0" applyFill="1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42" fillId="0" borderId="0" xfId="0" applyFont="1" applyAlignment="1" applyProtection="1">
      <alignment horizontal="center"/>
      <protection/>
    </xf>
    <xf numFmtId="0" fontId="25" fillId="0" borderId="0" xfId="0" applyFont="1" applyAlignment="1" applyProtection="1">
      <alignment horizontal="center"/>
      <protection/>
    </xf>
    <xf numFmtId="0" fontId="0" fillId="37" borderId="0" xfId="0" applyFill="1" applyAlignment="1">
      <alignment/>
    </xf>
    <xf numFmtId="0" fontId="28" fillId="0" borderId="0" xfId="0" applyFont="1" applyFill="1" applyAlignment="1">
      <alignment horizontal="left"/>
    </xf>
    <xf numFmtId="0" fontId="3" fillId="39" borderId="0" xfId="0" applyFont="1" applyFill="1" applyAlignment="1">
      <alignment vertical="center" wrapText="1"/>
    </xf>
    <xf numFmtId="0" fontId="50" fillId="35" borderId="31" xfId="0" applyFont="1" applyFill="1" applyBorder="1" applyAlignment="1" applyProtection="1">
      <alignment/>
      <protection hidden="1"/>
    </xf>
    <xf numFmtId="0" fontId="50" fillId="35" borderId="0" xfId="0" applyFont="1" applyFill="1" applyBorder="1" applyAlignment="1" applyProtection="1">
      <alignment horizontal="left" vertical="center" indent="2"/>
      <protection hidden="1"/>
    </xf>
    <xf numFmtId="0" fontId="51" fillId="38" borderId="10" xfId="0" applyFont="1" applyFill="1" applyBorder="1" applyAlignment="1">
      <alignment/>
    </xf>
    <xf numFmtId="0" fontId="25" fillId="0" borderId="13" xfId="0" applyFont="1" applyFill="1" applyBorder="1" applyAlignment="1">
      <alignment horizontal="left" vertical="center" indent="1"/>
    </xf>
    <xf numFmtId="0" fontId="25" fillId="0" borderId="33" xfId="0" applyFont="1" applyFill="1" applyBorder="1" applyAlignment="1">
      <alignment horizontal="left" vertical="center" indent="1"/>
    </xf>
    <xf numFmtId="0" fontId="25" fillId="0" borderId="34" xfId="0" applyFont="1" applyFill="1" applyBorder="1" applyAlignment="1">
      <alignment horizontal="left" vertical="center" indent="1"/>
    </xf>
    <xf numFmtId="0" fontId="25" fillId="0" borderId="35" xfId="0" applyFont="1" applyFill="1" applyBorder="1" applyAlignment="1">
      <alignment horizontal="left" indent="1"/>
    </xf>
    <xf numFmtId="0" fontId="25" fillId="0" borderId="36" xfId="0" applyFont="1" applyFill="1" applyBorder="1" applyAlignment="1">
      <alignment horizontal="left" indent="1"/>
    </xf>
    <xf numFmtId="0" fontId="25" fillId="40" borderId="12" xfId="0" applyFont="1" applyFill="1" applyBorder="1" applyAlignment="1">
      <alignment horizontal="left" vertical="center" indent="1"/>
    </xf>
    <xf numFmtId="0" fontId="25" fillId="40" borderId="12" xfId="0" applyFont="1" applyFill="1" applyBorder="1" applyAlignment="1">
      <alignment horizontal="center"/>
    </xf>
    <xf numFmtId="0" fontId="25" fillId="40" borderId="14" xfId="0" applyFont="1" applyFill="1" applyBorder="1" applyAlignment="1">
      <alignment horizontal="center"/>
    </xf>
    <xf numFmtId="0" fontId="25" fillId="40" borderId="13" xfId="0" applyFont="1" applyFill="1" applyBorder="1" applyAlignment="1">
      <alignment horizontal="center"/>
    </xf>
    <xf numFmtId="0" fontId="25" fillId="40" borderId="37" xfId="0" applyFont="1" applyFill="1" applyBorder="1" applyAlignment="1">
      <alignment horizontal="center"/>
    </xf>
    <xf numFmtId="0" fontId="25" fillId="40" borderId="13" xfId="0" applyFont="1" applyFill="1" applyBorder="1" applyAlignment="1">
      <alignment horizontal="left" vertical="center" indent="1"/>
    </xf>
    <xf numFmtId="0" fontId="25" fillId="41" borderId="13" xfId="0" applyFont="1" applyFill="1" applyBorder="1" applyAlignment="1">
      <alignment horizontal="center"/>
    </xf>
    <xf numFmtId="0" fontId="25" fillId="41" borderId="26" xfId="0" applyFont="1" applyFill="1" applyBorder="1" applyAlignment="1">
      <alignment horizontal="center"/>
    </xf>
    <xf numFmtId="0" fontId="25" fillId="40" borderId="26" xfId="0" applyFont="1" applyFill="1" applyBorder="1" applyAlignment="1">
      <alignment horizontal="center"/>
    </xf>
    <xf numFmtId="0" fontId="25" fillId="41" borderId="13" xfId="0" applyFont="1" applyFill="1" applyBorder="1" applyAlignment="1">
      <alignment horizontal="center" vertical="center"/>
    </xf>
    <xf numFmtId="0" fontId="25" fillId="40" borderId="27" xfId="0" applyFont="1" applyFill="1" applyBorder="1" applyAlignment="1">
      <alignment horizontal="left" vertical="center" indent="1"/>
    </xf>
    <xf numFmtId="0" fontId="25" fillId="40" borderId="27" xfId="0" applyFont="1" applyFill="1" applyBorder="1" applyAlignment="1">
      <alignment horizontal="center"/>
    </xf>
    <xf numFmtId="0" fontId="25" fillId="40" borderId="32" xfId="0" applyFont="1" applyFill="1" applyBorder="1" applyAlignment="1">
      <alignment horizontal="center"/>
    </xf>
    <xf numFmtId="0" fontId="25" fillId="40" borderId="38" xfId="0" applyFont="1" applyFill="1" applyBorder="1" applyAlignment="1">
      <alignment horizontal="left" vertical="center" indent="1"/>
    </xf>
    <xf numFmtId="0" fontId="25" fillId="40" borderId="38" xfId="0" applyFont="1" applyFill="1" applyBorder="1" applyAlignment="1">
      <alignment horizontal="center"/>
    </xf>
    <xf numFmtId="0" fontId="25" fillId="40" borderId="18" xfId="0" applyFont="1" applyFill="1" applyBorder="1" applyAlignment="1">
      <alignment horizontal="center" vertical="center"/>
    </xf>
    <xf numFmtId="0" fontId="25" fillId="40" borderId="19" xfId="0" applyFont="1" applyFill="1" applyBorder="1" applyAlignment="1">
      <alignment horizontal="left" vertical="center" indent="1"/>
    </xf>
    <xf numFmtId="0" fontId="25" fillId="40" borderId="39" xfId="0" applyFont="1" applyFill="1" applyBorder="1" applyAlignment="1">
      <alignment horizontal="center"/>
    </xf>
    <xf numFmtId="0" fontId="25" fillId="40" borderId="0" xfId="0" applyFont="1" applyFill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25" fillId="0" borderId="40" xfId="0" applyFont="1" applyFill="1" applyBorder="1" applyAlignment="1">
      <alignment horizontal="center"/>
    </xf>
    <xf numFmtId="0" fontId="25" fillId="42" borderId="13" xfId="0" applyFont="1" applyFill="1" applyBorder="1" applyAlignment="1">
      <alignment horizontal="center"/>
    </xf>
    <xf numFmtId="0" fontId="25" fillId="35" borderId="13" xfId="0" applyFont="1" applyFill="1" applyBorder="1" applyAlignment="1">
      <alignment horizontal="left" vertical="center" indent="1"/>
    </xf>
    <xf numFmtId="0" fontId="25" fillId="0" borderId="13" xfId="0" applyFont="1" applyBorder="1" applyAlignment="1">
      <alignment horizontal="center"/>
    </xf>
    <xf numFmtId="0" fontId="25" fillId="42" borderId="26" xfId="0" applyFont="1" applyFill="1" applyBorder="1" applyAlignment="1">
      <alignment horizontal="center"/>
    </xf>
    <xf numFmtId="0" fontId="25" fillId="37" borderId="33" xfId="0" applyFont="1" applyFill="1" applyBorder="1" applyAlignment="1">
      <alignment horizontal="left" vertical="center" indent="1"/>
    </xf>
    <xf numFmtId="0" fontId="25" fillId="37" borderId="13" xfId="0" applyFont="1" applyFill="1" applyBorder="1" applyAlignment="1">
      <alignment horizontal="left" vertical="center" indent="1"/>
    </xf>
    <xf numFmtId="0" fontId="25" fillId="37" borderId="13" xfId="0" applyFont="1" applyFill="1" applyBorder="1" applyAlignment="1">
      <alignment horizontal="center"/>
    </xf>
    <xf numFmtId="0" fontId="25" fillId="0" borderId="37" xfId="0" applyFont="1" applyBorder="1" applyAlignment="1">
      <alignment horizontal="center"/>
    </xf>
    <xf numFmtId="0" fontId="25" fillId="35" borderId="33" xfId="0" applyFont="1" applyFill="1" applyBorder="1" applyAlignment="1">
      <alignment horizontal="left" vertical="center" indent="1"/>
    </xf>
    <xf numFmtId="0" fontId="25" fillId="37" borderId="14" xfId="0" applyFont="1" applyFill="1" applyBorder="1" applyAlignment="1">
      <alignment horizontal="center"/>
    </xf>
    <xf numFmtId="0" fontId="25" fillId="0" borderId="41" xfId="0" applyFont="1" applyBorder="1" applyAlignment="1">
      <alignment horizontal="center"/>
    </xf>
    <xf numFmtId="0" fontId="25" fillId="0" borderId="37" xfId="0" applyFont="1" applyFill="1" applyBorder="1" applyAlignment="1">
      <alignment horizontal="center"/>
    </xf>
    <xf numFmtId="0" fontId="25" fillId="0" borderId="41" xfId="0" applyFont="1" applyFill="1" applyBorder="1" applyAlignment="1">
      <alignment horizontal="center"/>
    </xf>
    <xf numFmtId="0" fontId="33" fillId="34" borderId="39" xfId="0" applyFont="1" applyFill="1" applyBorder="1" applyAlignment="1">
      <alignment horizontal="center" vertical="center" wrapText="1"/>
    </xf>
    <xf numFmtId="0" fontId="33" fillId="34" borderId="12" xfId="0" applyFont="1" applyFill="1" applyBorder="1" applyAlignment="1">
      <alignment horizontal="center" wrapText="1"/>
    </xf>
    <xf numFmtId="0" fontId="25" fillId="43" borderId="33" xfId="0" applyFont="1" applyFill="1" applyBorder="1" applyAlignment="1">
      <alignment horizontal="left" vertical="center" indent="1"/>
    </xf>
    <xf numFmtId="0" fontId="25" fillId="43" borderId="13" xfId="0" applyFont="1" applyFill="1" applyBorder="1" applyAlignment="1">
      <alignment horizontal="left" vertical="center" indent="1"/>
    </xf>
    <xf numFmtId="0" fontId="25" fillId="42" borderId="13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43" borderId="25" xfId="0" applyFont="1" applyFill="1" applyBorder="1" applyAlignment="1">
      <alignment horizontal="left" vertical="center" indent="1"/>
    </xf>
    <xf numFmtId="0" fontId="25" fillId="43" borderId="13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0" fillId="35" borderId="42" xfId="0" applyFont="1" applyFill="1" applyBorder="1" applyAlignment="1" applyProtection="1">
      <alignment horizontal="center"/>
      <protection locked="0"/>
    </xf>
    <xf numFmtId="0" fontId="0" fillId="35" borderId="43" xfId="0" applyFont="1" applyFill="1" applyBorder="1" applyAlignment="1" applyProtection="1">
      <alignment horizontal="center"/>
      <protection locked="0"/>
    </xf>
    <xf numFmtId="0" fontId="6" fillId="33" borderId="21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1" fillId="38" borderId="42" xfId="0" applyFont="1" applyFill="1" applyBorder="1" applyAlignment="1">
      <alignment horizontal="center"/>
    </xf>
    <xf numFmtId="0" fontId="1" fillId="38" borderId="44" xfId="0" applyFont="1" applyFill="1" applyBorder="1" applyAlignment="1">
      <alignment horizontal="center"/>
    </xf>
    <xf numFmtId="0" fontId="1" fillId="38" borderId="43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43" fillId="35" borderId="22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/>
    </xf>
    <xf numFmtId="0" fontId="52" fillId="38" borderId="0" xfId="42" applyFont="1" applyFill="1" applyBorder="1" applyAlignment="1" applyProtection="1">
      <alignment horizontal="left"/>
      <protection hidden="1" locked="0"/>
    </xf>
    <xf numFmtId="0" fontId="45" fillId="38" borderId="45" xfId="42" applyFont="1" applyFill="1" applyBorder="1" applyAlignment="1" applyProtection="1">
      <alignment horizontal="center" vertical="top"/>
      <protection hidden="1" locked="0"/>
    </xf>
    <xf numFmtId="0" fontId="45" fillId="38" borderId="46" xfId="42" applyFont="1" applyFill="1" applyBorder="1" applyAlignment="1" applyProtection="1">
      <alignment horizontal="center" vertical="top"/>
      <protection hidden="1" locked="0"/>
    </xf>
    <xf numFmtId="0" fontId="0" fillId="35" borderId="44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>
      <alignment horizontal="center"/>
    </xf>
    <xf numFmtId="0" fontId="23" fillId="44" borderId="47" xfId="0" applyFont="1" applyFill="1" applyBorder="1" applyAlignment="1">
      <alignment horizontal="center"/>
    </xf>
    <xf numFmtId="0" fontId="23" fillId="44" borderId="48" xfId="0" applyFont="1" applyFill="1" applyBorder="1" applyAlignment="1">
      <alignment horizontal="center"/>
    </xf>
    <xf numFmtId="0" fontId="23" fillId="44" borderId="49" xfId="0" applyFont="1" applyFill="1" applyBorder="1" applyAlignment="1">
      <alignment horizontal="center"/>
    </xf>
    <xf numFmtId="0" fontId="24" fillId="34" borderId="25" xfId="0" applyFont="1" applyFill="1" applyBorder="1" applyAlignment="1">
      <alignment horizontal="left" vertical="center" indent="1"/>
    </xf>
    <xf numFmtId="0" fontId="24" fillId="34" borderId="12" xfId="0" applyFont="1" applyFill="1" applyBorder="1" applyAlignment="1">
      <alignment horizontal="left" vertical="center" indent="1"/>
    </xf>
    <xf numFmtId="0" fontId="24" fillId="34" borderId="12" xfId="0" applyFont="1" applyFill="1" applyBorder="1" applyAlignment="1">
      <alignment horizontal="center" vertical="center"/>
    </xf>
    <xf numFmtId="0" fontId="25" fillId="0" borderId="33" xfId="0" applyFont="1" applyFill="1" applyBorder="1" applyAlignment="1">
      <alignment horizontal="left" vertical="center" indent="1"/>
    </xf>
    <xf numFmtId="0" fontId="25" fillId="43" borderId="33" xfId="0" applyFont="1" applyFill="1" applyBorder="1" applyAlignment="1">
      <alignment horizontal="left" vertical="center" indent="1"/>
    </xf>
    <xf numFmtId="0" fontId="23" fillId="42" borderId="50" xfId="0" applyFont="1" applyFill="1" applyBorder="1" applyAlignment="1">
      <alignment horizontal="center"/>
    </xf>
    <xf numFmtId="0" fontId="23" fillId="42" borderId="51" xfId="0" applyFont="1" applyFill="1" applyBorder="1" applyAlignment="1">
      <alignment horizontal="center"/>
    </xf>
    <xf numFmtId="0" fontId="23" fillId="42" borderId="52" xfId="0" applyFont="1" applyFill="1" applyBorder="1" applyAlignment="1">
      <alignment horizontal="center"/>
    </xf>
    <xf numFmtId="0" fontId="24" fillId="34" borderId="36" xfId="0" applyFont="1" applyFill="1" applyBorder="1" applyAlignment="1">
      <alignment horizontal="left" vertical="center" indent="1"/>
    </xf>
    <xf numFmtId="0" fontId="24" fillId="34" borderId="35" xfId="0" applyFont="1" applyFill="1" applyBorder="1" applyAlignment="1">
      <alignment horizontal="left" vertical="center" indent="1"/>
    </xf>
    <xf numFmtId="0" fontId="24" fillId="34" borderId="40" xfId="0" applyFont="1" applyFill="1" applyBorder="1" applyAlignment="1">
      <alignment horizontal="center"/>
    </xf>
    <xf numFmtId="0" fontId="24" fillId="34" borderId="53" xfId="0" applyFont="1" applyFill="1" applyBorder="1" applyAlignment="1">
      <alignment horizontal="center"/>
    </xf>
    <xf numFmtId="0" fontId="24" fillId="34" borderId="54" xfId="0" applyFont="1" applyFill="1" applyBorder="1" applyAlignment="1">
      <alignment horizontal="center"/>
    </xf>
    <xf numFmtId="0" fontId="24" fillId="34" borderId="55" xfId="0" applyFont="1" applyFill="1" applyBorder="1" applyAlignment="1">
      <alignment horizontal="center"/>
    </xf>
    <xf numFmtId="0" fontId="25" fillId="0" borderId="34" xfId="0" applyFont="1" applyFill="1" applyBorder="1" applyAlignment="1">
      <alignment horizontal="left" vertical="center" indent="1"/>
    </xf>
    <xf numFmtId="0" fontId="25" fillId="0" borderId="56" xfId="0" applyFont="1" applyFill="1" applyBorder="1" applyAlignment="1">
      <alignment horizontal="left" vertical="center" inden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hyperlink" Target="http://vtcargo.ru/" TargetMode="External" /><Relationship Id="rId4" Type="http://schemas.openxmlformats.org/officeDocument/2006/relationships/hyperlink" Target="http://vtcargo.ru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31</xdr:row>
      <xdr:rowOff>38100</xdr:rowOff>
    </xdr:from>
    <xdr:to>
      <xdr:col>1</xdr:col>
      <xdr:colOff>161925</xdr:colOff>
      <xdr:row>31</xdr:row>
      <xdr:rowOff>142875</xdr:rowOff>
    </xdr:to>
    <xdr:pic>
      <xdr:nvPicPr>
        <xdr:cNvPr id="1" name="Picture 11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5286375"/>
          <a:ext cx="1333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33</xdr:row>
      <xdr:rowOff>38100</xdr:rowOff>
    </xdr:from>
    <xdr:to>
      <xdr:col>1</xdr:col>
      <xdr:colOff>161925</xdr:colOff>
      <xdr:row>33</xdr:row>
      <xdr:rowOff>142875</xdr:rowOff>
    </xdr:to>
    <xdr:pic>
      <xdr:nvPicPr>
        <xdr:cNvPr id="2" name="Picture 12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5610225"/>
          <a:ext cx="1333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34</xdr:row>
      <xdr:rowOff>38100</xdr:rowOff>
    </xdr:from>
    <xdr:to>
      <xdr:col>1</xdr:col>
      <xdr:colOff>161925</xdr:colOff>
      <xdr:row>34</xdr:row>
      <xdr:rowOff>142875</xdr:rowOff>
    </xdr:to>
    <xdr:pic>
      <xdr:nvPicPr>
        <xdr:cNvPr id="3" name="Picture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5772150"/>
          <a:ext cx="1333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35</xdr:row>
      <xdr:rowOff>38100</xdr:rowOff>
    </xdr:from>
    <xdr:to>
      <xdr:col>1</xdr:col>
      <xdr:colOff>161925</xdr:colOff>
      <xdr:row>35</xdr:row>
      <xdr:rowOff>142875</xdr:rowOff>
    </xdr:to>
    <xdr:pic>
      <xdr:nvPicPr>
        <xdr:cNvPr id="4" name="Picture 15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5934075"/>
          <a:ext cx="1333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36</xdr:row>
      <xdr:rowOff>38100</xdr:rowOff>
    </xdr:from>
    <xdr:to>
      <xdr:col>1</xdr:col>
      <xdr:colOff>161925</xdr:colOff>
      <xdr:row>36</xdr:row>
      <xdr:rowOff>142875</xdr:rowOff>
    </xdr:to>
    <xdr:pic>
      <xdr:nvPicPr>
        <xdr:cNvPr id="5" name="Picture 21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096000"/>
          <a:ext cx="1333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32</xdr:row>
      <xdr:rowOff>47625</xdr:rowOff>
    </xdr:from>
    <xdr:to>
      <xdr:col>1</xdr:col>
      <xdr:colOff>161925</xdr:colOff>
      <xdr:row>32</xdr:row>
      <xdr:rowOff>152400</xdr:rowOff>
    </xdr:to>
    <xdr:pic>
      <xdr:nvPicPr>
        <xdr:cNvPr id="6" name="Picture 22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457825"/>
          <a:ext cx="1143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38</xdr:row>
      <xdr:rowOff>38100</xdr:rowOff>
    </xdr:from>
    <xdr:to>
      <xdr:col>1</xdr:col>
      <xdr:colOff>161925</xdr:colOff>
      <xdr:row>38</xdr:row>
      <xdr:rowOff>142875</xdr:rowOff>
    </xdr:to>
    <xdr:pic>
      <xdr:nvPicPr>
        <xdr:cNvPr id="7" name="Picture 55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477000"/>
          <a:ext cx="1333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20</xdr:row>
      <xdr:rowOff>28575</xdr:rowOff>
    </xdr:from>
    <xdr:to>
      <xdr:col>10</xdr:col>
      <xdr:colOff>9525</xdr:colOff>
      <xdr:row>27</xdr:row>
      <xdr:rowOff>152400</xdr:rowOff>
    </xdr:to>
    <xdr:pic>
      <xdr:nvPicPr>
        <xdr:cNvPr id="8" name="Picture 15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91125" y="3609975"/>
          <a:ext cx="18859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37</xdr:row>
      <xdr:rowOff>38100</xdr:rowOff>
    </xdr:from>
    <xdr:to>
      <xdr:col>1</xdr:col>
      <xdr:colOff>161925</xdr:colOff>
      <xdr:row>37</xdr:row>
      <xdr:rowOff>142875</xdr:rowOff>
    </xdr:to>
    <xdr:pic>
      <xdr:nvPicPr>
        <xdr:cNvPr id="9" name="Picture 18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286500"/>
          <a:ext cx="1333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tcargo.ru/data/f_60.xls" TargetMode="External" /><Relationship Id="rId2" Type="http://schemas.openxmlformats.org/officeDocument/2006/relationships/hyperlink" Target="http://vtcargo.ru/data/f_11.xls" TargetMode="External" /><Relationship Id="rId3" Type="http://schemas.openxmlformats.org/officeDocument/2006/relationships/hyperlink" Target="http://vtcargo.ru/data/f_12.xls" TargetMode="External" /><Relationship Id="rId4" Type="http://schemas.openxmlformats.org/officeDocument/2006/relationships/hyperlink" Target="http://vtcargo.ru/reception/" TargetMode="External" /><Relationship Id="rId5" Type="http://schemas.openxmlformats.org/officeDocument/2006/relationships/hyperlink" Target="http://vtcargo.ru/reception/" TargetMode="External" /><Relationship Id="rId6" Type="http://schemas.openxmlformats.org/officeDocument/2006/relationships/hyperlink" Target="http://vtcargo.ru/data/f_57.xls" TargetMode="External" /><Relationship Id="rId7" Type="http://schemas.openxmlformats.org/officeDocument/2006/relationships/hyperlink" Target="http://vtcargo.ru/data/f_52.xls" TargetMode="External" /><Relationship Id="rId8" Type="http://schemas.openxmlformats.org/officeDocument/2006/relationships/hyperlink" Target="http://vtcargo.ru/data/f_165.xls" TargetMode="External" /><Relationship Id="rId9" Type="http://schemas.openxmlformats.org/officeDocument/2006/relationships/hyperlink" Target="http://vtcargo.ru/data/f_178.xls" TargetMode="External" /><Relationship Id="rId10" Type="http://schemas.openxmlformats.org/officeDocument/2006/relationships/hyperlink" Target="http://vtcargo.ru/data/f_181.xls" TargetMode="External" /><Relationship Id="rId11" Type="http://schemas.openxmlformats.org/officeDocument/2006/relationships/comments" Target="../comments1.xml" /><Relationship Id="rId12" Type="http://schemas.openxmlformats.org/officeDocument/2006/relationships/vmlDrawing" Target="../drawings/vmlDrawing1.vml" /><Relationship Id="rId13" Type="http://schemas.openxmlformats.org/officeDocument/2006/relationships/drawing" Target="../drawings/drawing1.xm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52"/>
    <pageSetUpPr fitToPage="1"/>
  </sheetPr>
  <dimension ref="A1:AX222"/>
  <sheetViews>
    <sheetView showGridLines="0" showRowColHeaders="0" tabSelected="1" zoomScale="102" zoomScaleNormal="102" zoomScalePageLayoutView="0" workbookViewId="0" topLeftCell="A1">
      <selection activeCell="F10" sqref="F10"/>
    </sheetView>
  </sheetViews>
  <sheetFormatPr defaultColWidth="9.00390625" defaultRowHeight="12.75"/>
  <cols>
    <col min="1" max="1" width="1.625" style="0" customWidth="1"/>
    <col min="2" max="2" width="2.125" style="0" customWidth="1"/>
    <col min="3" max="3" width="19.875" style="0" customWidth="1"/>
    <col min="4" max="4" width="13.25390625" style="0" customWidth="1"/>
    <col min="5" max="5" width="3.125" style="0" customWidth="1"/>
    <col min="6" max="6" width="12.875" style="0" customWidth="1"/>
    <col min="7" max="7" width="3.25390625" style="0" customWidth="1"/>
    <col min="8" max="8" width="11.625" style="0" customWidth="1"/>
    <col min="9" max="9" width="6.375" style="0" customWidth="1"/>
    <col min="10" max="10" width="18.625" style="0" customWidth="1"/>
    <col min="11" max="12" width="2.875" style="0" customWidth="1"/>
    <col min="13" max="13" width="27.875" style="0" bestFit="1" customWidth="1"/>
    <col min="14" max="14" width="14.875" style="0" bestFit="1" customWidth="1"/>
    <col min="15" max="15" width="6.25390625" style="0" bestFit="1" customWidth="1"/>
    <col min="16" max="16" width="11.375" style="0" bestFit="1" customWidth="1"/>
    <col min="17" max="17" width="8.875" style="0" bestFit="1" customWidth="1"/>
    <col min="18" max="18" width="10.875" style="0" bestFit="1" customWidth="1"/>
    <col min="19" max="19" width="12.00390625" style="0" bestFit="1" customWidth="1"/>
    <col min="20" max="20" width="12.625" style="0" customWidth="1"/>
    <col min="21" max="21" width="13.375" style="0" bestFit="1" customWidth="1"/>
    <col min="22" max="22" width="14.875" style="0" bestFit="1" customWidth="1"/>
    <col min="23" max="23" width="9.25390625" style="0" bestFit="1" customWidth="1"/>
    <col min="24" max="24" width="9.625" style="0" bestFit="1" customWidth="1"/>
    <col min="25" max="26" width="11.125" style="0" customWidth="1"/>
    <col min="27" max="27" width="10.25390625" style="0" customWidth="1"/>
    <col min="28" max="28" width="26.75390625" style="0" bestFit="1" customWidth="1"/>
    <col min="29" max="29" width="8.125" style="69" bestFit="1" customWidth="1"/>
    <col min="30" max="30" width="8.625" style="69" customWidth="1"/>
    <col min="31" max="31" width="7.75390625" style="69" bestFit="1" customWidth="1"/>
    <col min="32" max="34" width="10.625" style="0" customWidth="1"/>
    <col min="35" max="35" width="28.00390625" style="0" bestFit="1" customWidth="1"/>
    <col min="36" max="36" width="10.625" style="0" customWidth="1"/>
    <col min="37" max="37" width="16.375" style="0" customWidth="1"/>
    <col min="38" max="39" width="10.625" style="0" customWidth="1"/>
    <col min="40" max="40" width="11.00390625" style="0" customWidth="1"/>
    <col min="41" max="41" width="16.625" style="0" customWidth="1"/>
    <col min="42" max="42" width="10.375" style="0" customWidth="1"/>
    <col min="43" max="43" width="11.00390625" style="0" customWidth="1"/>
    <col min="44" max="44" width="11.00390625" style="137" customWidth="1"/>
    <col min="45" max="45" width="11.625" style="0" customWidth="1"/>
    <col min="46" max="46" width="12.00390625" style="0" customWidth="1"/>
    <col min="49" max="49" width="10.00390625" style="22" customWidth="1"/>
  </cols>
  <sheetData>
    <row r="1" spans="12:37" ht="7.5" customHeight="1"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61"/>
      <c r="AD1" s="161"/>
      <c r="AE1" s="161"/>
      <c r="AF1" s="152"/>
      <c r="AG1" s="152"/>
      <c r="AH1" s="152"/>
      <c r="AI1" s="152"/>
      <c r="AJ1" s="152"/>
      <c r="AK1" s="152"/>
    </row>
    <row r="2" spans="2:37" ht="18">
      <c r="B2" s="223" t="str">
        <f>CONCATENATE("Расчёт стоимости доставки Москва - ",X122)</f>
        <v>Расчёт стоимости доставки Москва - АБАКАН</v>
      </c>
      <c r="C2" s="224"/>
      <c r="D2" s="224"/>
      <c r="E2" s="224"/>
      <c r="F2" s="224"/>
      <c r="G2" s="224"/>
      <c r="H2" s="224"/>
      <c r="I2" s="224"/>
      <c r="J2" s="224"/>
      <c r="K2" s="225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61"/>
      <c r="AD2" s="161"/>
      <c r="AE2" s="161"/>
      <c r="AF2" s="152"/>
      <c r="AG2" s="152"/>
      <c r="AH2" s="152"/>
      <c r="AI2" s="152"/>
      <c r="AJ2" s="152"/>
      <c r="AK2" s="152"/>
    </row>
    <row r="3" spans="2:37" ht="5.25" customHeight="1">
      <c r="B3" s="63"/>
      <c r="C3" s="64"/>
      <c r="D3" s="64"/>
      <c r="E3" s="64"/>
      <c r="F3" s="64"/>
      <c r="G3" s="64"/>
      <c r="H3" s="64"/>
      <c r="I3" s="64"/>
      <c r="J3" s="64"/>
      <c r="K3" s="65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61"/>
      <c r="AD3" s="161"/>
      <c r="AE3" s="161"/>
      <c r="AF3" s="152"/>
      <c r="AG3" s="152"/>
      <c r="AH3" s="152"/>
      <c r="AI3" s="152"/>
      <c r="AJ3" s="152"/>
      <c r="AK3" s="152"/>
    </row>
    <row r="4" spans="2:49" s="129" customFormat="1" ht="16.5">
      <c r="B4" s="125"/>
      <c r="C4" s="132" t="str">
        <f>CONCATENATE("Сумма доставки отправления",IF(C119=1," (Авиаперевозка)",IF(C119=2," (Ж/Д багажная скорость)"," (Ж/Д грузовая скорость)")))</f>
        <v>Сумма доставки отправления (Авиаперевозка)</v>
      </c>
      <c r="D4" s="126"/>
      <c r="E4" s="126"/>
      <c r="F4" s="126"/>
      <c r="G4" s="126"/>
      <c r="H4" s="126"/>
      <c r="I4" s="127"/>
      <c r="J4" s="131">
        <f>IF(X125=1,"&lt;нет&gt;",IF(X125=0,0,X125+AB116+IF(C119=1,450,0)+E13*0.007+G117+IF(C117=4,X125*0.2,0)+G122+G123+M117+M118+M119+M120+M121+M122+G120+IF(X122="ИРКУТСК",IF(C119=1,ROUND(F10,0),IF(F10*1&gt;H10*100,F10,H10*100)),0)))</f>
        <v>0</v>
      </c>
      <c r="K4" s="128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62"/>
      <c r="AD4" s="162"/>
      <c r="AE4" s="162"/>
      <c r="AF4" s="153"/>
      <c r="AG4" s="153"/>
      <c r="AH4" s="153"/>
      <c r="AI4" s="153"/>
      <c r="AJ4" s="153"/>
      <c r="AK4" s="153"/>
      <c r="AR4" s="138"/>
      <c r="AW4" s="130"/>
    </row>
    <row r="5" spans="2:49" s="123" customFormat="1" ht="18.75" customHeight="1">
      <c r="B5" s="118"/>
      <c r="C5" s="147" t="str">
        <f>IF(X125=1,"Данный вид перевозки отсутствует !",IF(D128=0,"Введите параметры Вашего груза",IF(X125=0,"",IF(C119=1,CONCATENATE("Вес к оплате - ",X117,"кг","       &lt; тариф ",X113,"р./кг &gt;"),D145))))</f>
        <v>Введите параметры Вашего груза</v>
      </c>
      <c r="D5" s="119"/>
      <c r="E5" s="119"/>
      <c r="F5" s="120"/>
      <c r="G5" s="119"/>
      <c r="H5" s="119"/>
      <c r="I5" s="117"/>
      <c r="J5" s="121"/>
      <c r="K5" s="122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63"/>
      <c r="AD5" s="163"/>
      <c r="AE5" s="163"/>
      <c r="AF5" s="154"/>
      <c r="AG5" s="154"/>
      <c r="AH5" s="154"/>
      <c r="AI5" s="154"/>
      <c r="AJ5" s="154"/>
      <c r="AK5" s="154"/>
      <c r="AR5" s="139"/>
      <c r="AW5" s="124"/>
    </row>
    <row r="6" spans="2:37" ht="55.5" customHeight="1">
      <c r="B6" s="66"/>
      <c r="C6" s="227">
        <f>IF(D136=0,"",IF(C119=1,D133,D148))</f>
      </c>
      <c r="D6" s="227"/>
      <c r="E6" s="227"/>
      <c r="F6" s="227"/>
      <c r="G6" s="227"/>
      <c r="H6" s="227"/>
      <c r="I6" s="227"/>
      <c r="J6" s="227"/>
      <c r="K6" s="67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61"/>
      <c r="AD6" s="161"/>
      <c r="AE6" s="161"/>
      <c r="AF6" s="152"/>
      <c r="AG6" s="152"/>
      <c r="AH6" s="152"/>
      <c r="AI6" s="152"/>
      <c r="AJ6" s="152"/>
      <c r="AK6" s="152"/>
    </row>
    <row r="7" spans="2:37" ht="12.75">
      <c r="B7" s="1"/>
      <c r="C7" s="2"/>
      <c r="D7" s="2"/>
      <c r="E7" s="2"/>
      <c r="F7" s="2"/>
      <c r="G7" s="2"/>
      <c r="H7" s="2"/>
      <c r="I7" s="2"/>
      <c r="J7" s="2"/>
      <c r="K7" s="3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61"/>
      <c r="AD7" s="161"/>
      <c r="AE7" s="161"/>
      <c r="AF7" s="152"/>
      <c r="AG7" s="152"/>
      <c r="AH7" s="152"/>
      <c r="AI7" s="152"/>
      <c r="AJ7" s="152"/>
      <c r="AK7" s="152"/>
    </row>
    <row r="8" spans="2:37" ht="12.75">
      <c r="B8" s="1"/>
      <c r="C8" s="4" t="s">
        <v>164</v>
      </c>
      <c r="D8" s="226"/>
      <c r="E8" s="226"/>
      <c r="F8" s="46" t="s">
        <v>165</v>
      </c>
      <c r="G8" s="18"/>
      <c r="H8" s="2"/>
      <c r="I8" s="41"/>
      <c r="J8" s="2"/>
      <c r="K8" s="3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61"/>
      <c r="AD8" s="161"/>
      <c r="AE8" s="161"/>
      <c r="AF8" s="152"/>
      <c r="AG8" s="152"/>
      <c r="AH8" s="152"/>
      <c r="AI8" s="152"/>
      <c r="AJ8" s="152"/>
      <c r="AK8" s="152"/>
    </row>
    <row r="9" spans="2:37" ht="9" customHeight="1">
      <c r="B9" s="1"/>
      <c r="C9" s="2"/>
      <c r="D9" s="2"/>
      <c r="E9" s="2"/>
      <c r="F9" s="2"/>
      <c r="G9" s="2"/>
      <c r="H9" s="2"/>
      <c r="I9" s="42"/>
      <c r="J9" s="2"/>
      <c r="K9" s="3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61"/>
      <c r="AD9" s="161"/>
      <c r="AE9" s="161"/>
      <c r="AF9" s="152"/>
      <c r="AG9" s="152"/>
      <c r="AH9" s="152"/>
      <c r="AI9" s="152"/>
      <c r="AJ9" s="152"/>
      <c r="AK9" s="152"/>
    </row>
    <row r="10" spans="2:49" s="6" customFormat="1" ht="12.75">
      <c r="B10" s="1"/>
      <c r="C10" s="11" t="s">
        <v>166</v>
      </c>
      <c r="D10" s="54"/>
      <c r="E10" s="14"/>
      <c r="F10" s="54">
        <v>0</v>
      </c>
      <c r="G10" s="2"/>
      <c r="H10" s="54">
        <v>0</v>
      </c>
      <c r="I10" s="20"/>
      <c r="J10" s="20"/>
      <c r="K10" s="3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61"/>
      <c r="AD10" s="161"/>
      <c r="AE10" s="161"/>
      <c r="AF10" s="155"/>
      <c r="AG10" s="155"/>
      <c r="AH10" s="155"/>
      <c r="AI10" s="155"/>
      <c r="AJ10" s="155"/>
      <c r="AK10" s="155"/>
      <c r="AR10" s="140"/>
      <c r="AW10" s="86"/>
    </row>
    <row r="11" spans="2:37" ht="12.75">
      <c r="B11" s="1"/>
      <c r="C11" s="2"/>
      <c r="D11" s="10" t="s">
        <v>9</v>
      </c>
      <c r="E11" s="10"/>
      <c r="F11" s="10" t="s">
        <v>2</v>
      </c>
      <c r="G11" s="2"/>
      <c r="H11" s="10" t="s">
        <v>3</v>
      </c>
      <c r="I11" s="19"/>
      <c r="J11" s="19"/>
      <c r="K11" s="3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61"/>
      <c r="AD11" s="161"/>
      <c r="AE11" s="161"/>
      <c r="AF11" s="152"/>
      <c r="AG11" s="152"/>
      <c r="AH11" s="152"/>
      <c r="AI11" s="152"/>
      <c r="AJ11" s="152"/>
      <c r="AK11" s="152"/>
    </row>
    <row r="12" spans="2:37" ht="11.25" customHeight="1">
      <c r="B12" s="7"/>
      <c r="C12" s="8"/>
      <c r="D12" s="8"/>
      <c r="E12" s="8"/>
      <c r="F12" s="8"/>
      <c r="G12" s="8"/>
      <c r="H12" s="8"/>
      <c r="I12" s="8"/>
      <c r="J12" s="8"/>
      <c r="K12" s="9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61"/>
      <c r="AD12" s="161"/>
      <c r="AE12" s="161"/>
      <c r="AF12" s="152"/>
      <c r="AG12" s="152"/>
      <c r="AH12" s="152"/>
      <c r="AI12" s="152"/>
      <c r="AJ12" s="152"/>
      <c r="AK12" s="152"/>
    </row>
    <row r="13" spans="2:37" ht="12.75">
      <c r="B13" s="7"/>
      <c r="C13" s="11" t="s">
        <v>170</v>
      </c>
      <c r="D13" s="8"/>
      <c r="E13" s="218">
        <v>0</v>
      </c>
      <c r="F13" s="232"/>
      <c r="G13" s="219"/>
      <c r="H13" s="8"/>
      <c r="I13" s="8"/>
      <c r="J13" s="8"/>
      <c r="K13" s="9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61"/>
      <c r="AD13" s="161"/>
      <c r="AE13" s="161"/>
      <c r="AF13" s="152"/>
      <c r="AG13" s="152"/>
      <c r="AH13" s="152"/>
      <c r="AI13" s="152"/>
      <c r="AJ13" s="152"/>
      <c r="AK13" s="152"/>
    </row>
    <row r="14" spans="2:49" s="6" customFormat="1" ht="12.75">
      <c r="B14" s="1"/>
      <c r="C14"/>
      <c r="D14" s="2"/>
      <c r="E14" s="233" t="s">
        <v>4</v>
      </c>
      <c r="F14" s="233"/>
      <c r="G14" s="233"/>
      <c r="H14" s="2"/>
      <c r="I14" s="2"/>
      <c r="J14" s="2"/>
      <c r="K14" s="3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61"/>
      <c r="AD14" s="161"/>
      <c r="AE14" s="161"/>
      <c r="AF14" s="155"/>
      <c r="AG14" s="155"/>
      <c r="AH14" s="155"/>
      <c r="AI14" s="155"/>
      <c r="AJ14" s="155"/>
      <c r="AK14" s="155"/>
      <c r="AR14" s="140"/>
      <c r="AW14" s="86"/>
    </row>
    <row r="15" spans="2:37" ht="12.75">
      <c r="B15" s="7"/>
      <c r="C15" s="8"/>
      <c r="D15" s="8"/>
      <c r="E15" s="8"/>
      <c r="F15" s="8"/>
      <c r="H15" s="8"/>
      <c r="I15" s="8"/>
      <c r="J15" s="8"/>
      <c r="K15" s="9"/>
      <c r="L15" s="152"/>
      <c r="M15" s="152"/>
      <c r="N15" s="156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61"/>
      <c r="AD15" s="161"/>
      <c r="AE15" s="161"/>
      <c r="AF15" s="152"/>
      <c r="AG15" s="152"/>
      <c r="AH15" s="152"/>
      <c r="AI15" s="152"/>
      <c r="AJ15" s="152"/>
      <c r="AK15" s="152"/>
    </row>
    <row r="16" spans="2:49" s="6" customFormat="1" ht="12.75">
      <c r="B16" s="1"/>
      <c r="C16" s="11" t="s">
        <v>167</v>
      </c>
      <c r="D16" s="2"/>
      <c r="E16" s="221"/>
      <c r="F16" s="221"/>
      <c r="G16" s="221"/>
      <c r="H16" s="2"/>
      <c r="I16" s="2"/>
      <c r="J16" s="2"/>
      <c r="K16" s="3"/>
      <c r="L16" s="155"/>
      <c r="M16" s="155" t="s">
        <v>224</v>
      </c>
      <c r="N16" s="156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61"/>
      <c r="AD16" s="161"/>
      <c r="AE16" s="161"/>
      <c r="AF16" s="155"/>
      <c r="AG16" s="155"/>
      <c r="AH16" s="155"/>
      <c r="AI16" s="155"/>
      <c r="AJ16" s="155"/>
      <c r="AK16" s="155"/>
      <c r="AR16" s="140"/>
      <c r="AW16" s="86"/>
    </row>
    <row r="17" spans="2:49" s="6" customFormat="1" ht="7.5" customHeight="1">
      <c r="B17" s="1"/>
      <c r="C17" s="11"/>
      <c r="D17" s="2"/>
      <c r="E17" s="45"/>
      <c r="F17" s="45"/>
      <c r="G17" s="45"/>
      <c r="H17" s="2"/>
      <c r="I17" s="2"/>
      <c r="J17" s="2"/>
      <c r="K17" s="3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61"/>
      <c r="AD17" s="161"/>
      <c r="AE17" s="161"/>
      <c r="AF17" s="155"/>
      <c r="AG17" s="155"/>
      <c r="AH17" s="155"/>
      <c r="AI17" s="155"/>
      <c r="AJ17" s="155"/>
      <c r="AK17" s="155"/>
      <c r="AR17" s="140"/>
      <c r="AW17" s="86"/>
    </row>
    <row r="18" spans="2:37" ht="12.75">
      <c r="B18" s="1"/>
      <c r="C18" s="11" t="s">
        <v>171</v>
      </c>
      <c r="D18" s="2"/>
      <c r="E18" s="48" t="s">
        <v>172</v>
      </c>
      <c r="F18" s="21"/>
      <c r="G18" s="21"/>
      <c r="H18" s="2"/>
      <c r="I18" s="2"/>
      <c r="J18" s="2"/>
      <c r="K18" s="3"/>
      <c r="L18" s="152"/>
      <c r="M18" s="152"/>
      <c r="N18" s="157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61"/>
      <c r="AD18" s="161"/>
      <c r="AE18" s="161"/>
      <c r="AF18" s="152"/>
      <c r="AG18" s="152"/>
      <c r="AH18" s="152"/>
      <c r="AI18" s="152"/>
      <c r="AJ18" s="152"/>
      <c r="AK18" s="152"/>
    </row>
    <row r="19" spans="2:49" s="6" customFormat="1" ht="5.25" customHeight="1">
      <c r="B19" s="1"/>
      <c r="C19" s="8"/>
      <c r="D19" s="8"/>
      <c r="E19" s="8"/>
      <c r="F19" s="8"/>
      <c r="G19" s="8"/>
      <c r="H19" s="8"/>
      <c r="I19" s="8"/>
      <c r="J19" s="8"/>
      <c r="K19" s="9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61"/>
      <c r="AD19" s="161"/>
      <c r="AE19" s="161"/>
      <c r="AF19" s="155"/>
      <c r="AG19" s="155"/>
      <c r="AH19" s="155"/>
      <c r="AI19" s="155"/>
      <c r="AJ19" s="155"/>
      <c r="AK19" s="155"/>
      <c r="AR19" s="140"/>
      <c r="AW19" s="86"/>
    </row>
    <row r="20" spans="2:37" ht="12.75">
      <c r="B20" s="7"/>
      <c r="C20" s="47" t="s">
        <v>173</v>
      </c>
      <c r="D20" s="8"/>
      <c r="E20" s="11" t="s">
        <v>174</v>
      </c>
      <c r="F20" s="8"/>
      <c r="G20" s="8"/>
      <c r="H20" s="8"/>
      <c r="I20" s="8"/>
      <c r="J20" s="8"/>
      <c r="K20" s="9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61"/>
      <c r="AD20" s="161"/>
      <c r="AE20" s="161"/>
      <c r="AF20" s="152"/>
      <c r="AG20" s="152"/>
      <c r="AH20" s="152"/>
      <c r="AI20" s="152"/>
      <c r="AJ20" s="152"/>
      <c r="AK20" s="152"/>
    </row>
    <row r="21" spans="2:37" ht="4.5" customHeight="1">
      <c r="B21" s="7"/>
      <c r="C21" s="47"/>
      <c r="D21" s="8"/>
      <c r="E21" s="11"/>
      <c r="F21" s="8"/>
      <c r="G21" s="8"/>
      <c r="H21" s="8"/>
      <c r="I21" s="8"/>
      <c r="J21" s="8"/>
      <c r="K21" s="9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61"/>
      <c r="AD21" s="161"/>
      <c r="AE21" s="161"/>
      <c r="AF21" s="152"/>
      <c r="AG21" s="152"/>
      <c r="AH21" s="152"/>
      <c r="AI21" s="152"/>
      <c r="AJ21" s="152"/>
      <c r="AK21" s="152"/>
    </row>
    <row r="22" spans="2:37" ht="12.75">
      <c r="B22" s="1"/>
      <c r="C22" s="228" t="s">
        <v>175</v>
      </c>
      <c r="D22" s="2"/>
      <c r="E22" s="2"/>
      <c r="F22" s="2"/>
      <c r="G22" s="2"/>
      <c r="H22" s="2"/>
      <c r="I22" s="2"/>
      <c r="J22" s="2"/>
      <c r="K22" s="3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61"/>
      <c r="AD22" s="161"/>
      <c r="AE22" s="161"/>
      <c r="AF22" s="152"/>
      <c r="AG22" s="152"/>
      <c r="AH22" s="152"/>
      <c r="AI22" s="152"/>
      <c r="AJ22" s="152"/>
      <c r="AK22" s="152"/>
    </row>
    <row r="23" spans="2:37" ht="5.25" customHeight="1">
      <c r="B23" s="1"/>
      <c r="C23" s="228"/>
      <c r="D23" s="2"/>
      <c r="E23" s="2"/>
      <c r="F23" s="2"/>
      <c r="G23" s="2"/>
      <c r="H23" s="2"/>
      <c r="I23" s="2"/>
      <c r="J23" s="2"/>
      <c r="K23" s="3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61"/>
      <c r="AD23" s="161"/>
      <c r="AE23" s="161"/>
      <c r="AF23" s="152"/>
      <c r="AG23" s="152"/>
      <c r="AH23" s="152"/>
      <c r="AI23" s="152"/>
      <c r="AJ23" s="152"/>
      <c r="AK23" s="152"/>
    </row>
    <row r="24" spans="2:49" s="6" customFormat="1" ht="12.75">
      <c r="B24" s="1"/>
      <c r="C24" s="5"/>
      <c r="D24" s="11"/>
      <c r="E24" s="2"/>
      <c r="F24" s="2"/>
      <c r="G24" s="2"/>
      <c r="H24" s="2"/>
      <c r="I24" s="2"/>
      <c r="J24" s="2"/>
      <c r="K24" s="3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61"/>
      <c r="AD24" s="161"/>
      <c r="AE24" s="161"/>
      <c r="AF24" s="155"/>
      <c r="AG24" s="155"/>
      <c r="AH24" s="155"/>
      <c r="AI24" s="155"/>
      <c r="AJ24" s="155"/>
      <c r="AK24" s="155"/>
      <c r="AR24" s="140"/>
      <c r="AW24" s="86"/>
    </row>
    <row r="25" spans="2:37" ht="12.75">
      <c r="B25" s="1"/>
      <c r="C25" s="12"/>
      <c r="D25" s="12"/>
      <c r="E25" s="8"/>
      <c r="F25" s="8"/>
      <c r="G25" s="8"/>
      <c r="H25" s="17"/>
      <c r="I25" s="8"/>
      <c r="J25" s="8"/>
      <c r="K25" s="9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61"/>
      <c r="AD25" s="161"/>
      <c r="AE25" s="161"/>
      <c r="AF25" s="152"/>
      <c r="AG25" s="152"/>
      <c r="AH25" s="152"/>
      <c r="AI25" s="152"/>
      <c r="AJ25" s="152"/>
      <c r="AK25" s="152"/>
    </row>
    <row r="26" spans="2:49" s="6" customFormat="1" ht="12.75">
      <c r="B26" s="7"/>
      <c r="C26" s="2"/>
      <c r="D26" s="11"/>
      <c r="E26" s="2"/>
      <c r="F26" s="2"/>
      <c r="G26" s="2"/>
      <c r="H26" s="2"/>
      <c r="I26" s="2"/>
      <c r="J26" s="2"/>
      <c r="K26" s="3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61"/>
      <c r="AD26" s="161"/>
      <c r="AE26" s="161"/>
      <c r="AF26" s="155"/>
      <c r="AG26" s="155"/>
      <c r="AH26" s="155"/>
      <c r="AI26" s="155"/>
      <c r="AJ26" s="155"/>
      <c r="AK26" s="155"/>
      <c r="AR26" s="140"/>
      <c r="AW26" s="86"/>
    </row>
    <row r="27" spans="2:37" ht="12.75">
      <c r="B27" s="1"/>
      <c r="C27" s="8"/>
      <c r="D27" s="13"/>
      <c r="E27" s="8"/>
      <c r="F27" s="8"/>
      <c r="G27" s="13"/>
      <c r="H27" s="8"/>
      <c r="I27" s="8"/>
      <c r="J27" s="8"/>
      <c r="K27" s="9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61"/>
      <c r="AD27" s="161"/>
      <c r="AE27" s="161"/>
      <c r="AF27" s="152"/>
      <c r="AG27" s="152"/>
      <c r="AH27" s="152"/>
      <c r="AI27" s="152"/>
      <c r="AJ27" s="152"/>
      <c r="AK27" s="152"/>
    </row>
    <row r="28" spans="2:49" s="6" customFormat="1" ht="13.5" thickBot="1">
      <c r="B28" s="1"/>
      <c r="C28" s="8"/>
      <c r="D28" s="8"/>
      <c r="E28" s="8"/>
      <c r="F28" s="218">
        <v>0</v>
      </c>
      <c r="G28" s="219"/>
      <c r="H28" s="8"/>
      <c r="I28" s="8"/>
      <c r="J28" s="8"/>
      <c r="K28" s="9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61"/>
      <c r="AD28" s="161"/>
      <c r="AE28" s="161"/>
      <c r="AF28" s="155"/>
      <c r="AG28" s="155"/>
      <c r="AH28" s="155"/>
      <c r="AI28" s="155"/>
      <c r="AJ28" s="155"/>
      <c r="AK28" s="155"/>
      <c r="AR28" s="140"/>
      <c r="AW28" s="86"/>
    </row>
    <row r="29" spans="2:37" ht="16.5" thickBot="1">
      <c r="B29" s="7"/>
      <c r="C29" s="2"/>
      <c r="D29" s="2"/>
      <c r="E29" s="2"/>
      <c r="F29" s="220" t="s">
        <v>169</v>
      </c>
      <c r="G29" s="220"/>
      <c r="H29" s="49"/>
      <c r="I29" s="230" t="s">
        <v>249</v>
      </c>
      <c r="J29" s="231"/>
      <c r="K29" s="3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61"/>
      <c r="AD29" s="161"/>
      <c r="AE29" s="161"/>
      <c r="AF29" s="152"/>
      <c r="AG29" s="152"/>
      <c r="AH29" s="152"/>
      <c r="AI29" s="152"/>
      <c r="AJ29" s="152"/>
      <c r="AK29" s="152"/>
    </row>
    <row r="30" spans="2:49" s="6" customFormat="1" ht="12.75">
      <c r="B30" s="1"/>
      <c r="C30" s="2"/>
      <c r="D30" s="2"/>
      <c r="E30" s="2"/>
      <c r="F30" s="50"/>
      <c r="G30" s="2"/>
      <c r="H30" s="49"/>
      <c r="K30" s="3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61"/>
      <c r="AD30" s="161"/>
      <c r="AE30" s="161"/>
      <c r="AF30" s="155"/>
      <c r="AG30" s="155"/>
      <c r="AH30" s="155"/>
      <c r="AI30" s="155"/>
      <c r="AJ30" s="155"/>
      <c r="AK30" s="155"/>
      <c r="AR30" s="140"/>
      <c r="AW30" s="86"/>
    </row>
    <row r="31" spans="2:49" s="51" customFormat="1" ht="15">
      <c r="B31" s="167"/>
      <c r="C31" s="56" t="str">
        <f>CONCATENATE("Примечания к вводу данных для",IF(C119=1," авиаперевозки:"," ж/д перевозки"))</f>
        <v>Примечания к вводу данных для авиаперевозки:</v>
      </c>
      <c r="D31" s="58"/>
      <c r="E31" s="58"/>
      <c r="F31" s="58"/>
      <c r="G31" s="58"/>
      <c r="H31" s="58"/>
      <c r="I31" s="58"/>
      <c r="J31" s="58"/>
      <c r="K31" s="59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61"/>
      <c r="AD31" s="161"/>
      <c r="AE31" s="161"/>
      <c r="AF31" s="152"/>
      <c r="AG31" s="152"/>
      <c r="AH31" s="152"/>
      <c r="AI31" s="152"/>
      <c r="AJ31" s="152"/>
      <c r="AK31" s="152"/>
      <c r="AR31" s="141"/>
      <c r="AW31" s="87"/>
    </row>
    <row r="32" spans="2:49" s="52" customFormat="1" ht="12.75">
      <c r="B32" s="112" t="str">
        <f>IF(C119=1,"Негабаритный груз АВИА:  1место весит 80-200кг +10руб/кг, больше 200кг +15руб/кг","Негабаритный груз Ж/Д: если 1место &gt; 1 м3, или весит &gt; 100кг +30% к тарифу")</f>
        <v>Негабаритный груз АВИА:  1место весит 80-200кг +10руб/кг, больше 200кг +15руб/кг</v>
      </c>
      <c r="C32" s="168"/>
      <c r="D32" s="60"/>
      <c r="E32" s="60"/>
      <c r="F32" s="60"/>
      <c r="G32" s="60"/>
      <c r="H32" s="60"/>
      <c r="I32" s="60"/>
      <c r="J32" s="60"/>
      <c r="K32" s="61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61"/>
      <c r="AD32" s="161"/>
      <c r="AE32" s="161"/>
      <c r="AF32" s="155"/>
      <c r="AG32" s="155"/>
      <c r="AH32" s="155"/>
      <c r="AI32" s="155"/>
      <c r="AJ32" s="155"/>
      <c r="AK32" s="155"/>
      <c r="AR32" s="142"/>
      <c r="AW32" s="88"/>
    </row>
    <row r="33" spans="2:49" s="51" customFormat="1" ht="12.75">
      <c r="B33" s="112" t="str">
        <f>IF(C119=1,"Стоимость авианакладной - 450руб.","Расчёт Ж/Д по весу (если 1м3&gt;200кг), расчёт Ж/Д по объёму (если 1м3&lt;200кг)")</f>
        <v>Стоимость авианакладной - 450руб.</v>
      </c>
      <c r="C33" s="168"/>
      <c r="D33" s="60"/>
      <c r="E33" s="60"/>
      <c r="F33" s="60"/>
      <c r="G33" s="60"/>
      <c r="H33" s="60"/>
      <c r="I33" s="60"/>
      <c r="J33" s="60"/>
      <c r="K33" s="61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61"/>
      <c r="AD33" s="161"/>
      <c r="AE33" s="161"/>
      <c r="AF33" s="152"/>
      <c r="AG33" s="152"/>
      <c r="AH33" s="152"/>
      <c r="AI33" s="152"/>
      <c r="AJ33" s="152"/>
      <c r="AK33" s="152"/>
      <c r="AR33" s="141"/>
      <c r="AW33" s="87"/>
    </row>
    <row r="34" spans="2:49" s="51" customFormat="1" ht="12.75">
      <c r="B34" s="112" t="str">
        <f>IF(C119=1,"На авиаперевозку груза введён обьёмный показатель 167кг/м3","Расценки на Ж/Д перевозку мягкой мебели увеличиваются на 10%")</f>
        <v>На авиаперевозку груза введён обьёмный показатель 167кг/м3</v>
      </c>
      <c r="C34" s="168"/>
      <c r="D34" s="60"/>
      <c r="E34" s="60"/>
      <c r="F34" s="60"/>
      <c r="G34" s="60"/>
      <c r="H34" s="60"/>
      <c r="I34" s="60"/>
      <c r="J34" s="60"/>
      <c r="K34" s="61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61"/>
      <c r="AD34" s="161"/>
      <c r="AE34" s="161"/>
      <c r="AF34" s="152"/>
      <c r="AG34" s="152"/>
      <c r="AH34" s="152"/>
      <c r="AI34" s="152"/>
      <c r="AJ34" s="152"/>
      <c r="AK34" s="152"/>
      <c r="AR34" s="141"/>
      <c r="AW34" s="87"/>
    </row>
    <row r="35" spans="2:49" s="52" customFormat="1" ht="12.75">
      <c r="B35" s="112" t="str">
        <f>IF(C119=1,"Обработка транзитного груза + 7руб/кг к тарифу","Обрешётка груза (минимальная оплата за 1куб.) 850руб./куб")</f>
        <v>Обработка транзитного груза + 7руб/кг к тарифу</v>
      </c>
      <c r="C35" s="168"/>
      <c r="D35" s="60"/>
      <c r="E35" s="60"/>
      <c r="F35" s="60"/>
      <c r="G35" s="60"/>
      <c r="H35" s="60"/>
      <c r="I35" s="60"/>
      <c r="J35" s="60"/>
      <c r="K35" s="61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61"/>
      <c r="AD35" s="161"/>
      <c r="AE35" s="161"/>
      <c r="AF35" s="155"/>
      <c r="AG35" s="155"/>
      <c r="AH35" s="155"/>
      <c r="AI35" s="155"/>
      <c r="AJ35" s="155"/>
      <c r="AK35" s="155"/>
      <c r="AR35" s="142"/>
      <c r="AW35" s="88"/>
    </row>
    <row r="36" spans="2:49" s="51" customFormat="1" ht="12.75">
      <c r="B36" s="112" t="str">
        <f>IF(C119=1,"Экспресс отправка груза +10руб/кг к тарифу","Ж/Д перевозка обрешёченного груза +35% к тарифу")</f>
        <v>Экспресс отправка груза +10руб/кг к тарифу</v>
      </c>
      <c r="C36" s="168"/>
      <c r="D36" s="60"/>
      <c r="E36" s="60"/>
      <c r="F36" s="60"/>
      <c r="G36" s="60"/>
      <c r="H36" s="60"/>
      <c r="I36" s="60"/>
      <c r="J36" s="60"/>
      <c r="K36" s="61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61"/>
      <c r="AD36" s="161"/>
      <c r="AE36" s="161"/>
      <c r="AF36" s="152"/>
      <c r="AG36" s="152"/>
      <c r="AH36" s="152"/>
      <c r="AI36" s="152"/>
      <c r="AJ36" s="152"/>
      <c r="AK36" s="152"/>
      <c r="AR36" s="141"/>
      <c r="AW36" s="87"/>
    </row>
    <row r="37" spans="2:49" s="51" customFormat="1" ht="15" customHeight="1">
      <c r="B37" s="112" t="s">
        <v>179</v>
      </c>
      <c r="C37" s="168"/>
      <c r="D37" s="60"/>
      <c r="E37" s="60"/>
      <c r="F37" s="60"/>
      <c r="G37" s="60"/>
      <c r="H37" s="60"/>
      <c r="I37" s="60"/>
      <c r="J37" s="60"/>
      <c r="K37" s="61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61"/>
      <c r="AD37" s="161"/>
      <c r="AE37" s="161"/>
      <c r="AF37" s="152"/>
      <c r="AG37" s="152"/>
      <c r="AH37" s="152"/>
      <c r="AI37" s="152"/>
      <c r="AJ37" s="152"/>
      <c r="AK37" s="152"/>
      <c r="AR37" s="141"/>
      <c r="AW37" s="87"/>
    </row>
    <row r="38" spans="2:49" s="51" customFormat="1" ht="15" customHeight="1">
      <c r="B38" s="112" t="str">
        <f>IF(C119=1,"Упаковка мешок+пломба  100руб/место, плёнка+окантовка 200руб/место","Упаковка мешки под пломбой  100руб/место")</f>
        <v>Упаковка мешок+пломба  100руб/место, плёнка+окантовка 200руб/место</v>
      </c>
      <c r="C38" s="168"/>
      <c r="D38" s="60"/>
      <c r="E38" s="60"/>
      <c r="F38" s="60"/>
      <c r="G38" s="60"/>
      <c r="H38" s="60"/>
      <c r="I38" s="60"/>
      <c r="J38" s="60"/>
      <c r="K38" s="61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61"/>
      <c r="AD38" s="161"/>
      <c r="AE38" s="161"/>
      <c r="AF38" s="152"/>
      <c r="AG38" s="152"/>
      <c r="AH38" s="152"/>
      <c r="AI38" s="152"/>
      <c r="AJ38" s="152"/>
      <c r="AK38" s="152"/>
      <c r="AR38" s="141"/>
      <c r="AW38" s="87"/>
    </row>
    <row r="39" spans="2:49" s="51" customFormat="1" ht="12.75">
      <c r="B39" s="112" t="str">
        <f>IF(C119=1,"Авиа груз весом до 30кг, оплачивается как за 30кг","Ж/Д перевозка груза, требующего режима ""ТЕПЛО"" +30% к тарифу")</f>
        <v>Авиа груз весом до 30кг, оплачивается как за 30кг</v>
      </c>
      <c r="C39" s="168"/>
      <c r="D39" s="60"/>
      <c r="E39" s="60"/>
      <c r="F39" s="60"/>
      <c r="G39" s="60"/>
      <c r="H39" s="60"/>
      <c r="I39" s="60"/>
      <c r="J39" s="60"/>
      <c r="K39" s="61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61"/>
      <c r="AD39" s="161"/>
      <c r="AE39" s="161"/>
      <c r="AF39" s="152"/>
      <c r="AG39" s="152"/>
      <c r="AH39" s="152"/>
      <c r="AI39" s="152"/>
      <c r="AJ39" s="152"/>
      <c r="AK39" s="152"/>
      <c r="AR39" s="141"/>
      <c r="AW39" s="87"/>
    </row>
    <row r="40" spans="2:49" s="51" customFormat="1" ht="2.25" customHeight="1">
      <c r="B40" s="55"/>
      <c r="C40" s="57"/>
      <c r="D40" s="57"/>
      <c r="E40" s="57"/>
      <c r="F40" s="57"/>
      <c r="G40" s="57"/>
      <c r="H40" s="57"/>
      <c r="I40" s="57"/>
      <c r="J40" s="57"/>
      <c r="K40" s="6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61"/>
      <c r="AD40" s="161"/>
      <c r="AE40" s="161"/>
      <c r="AF40" s="152"/>
      <c r="AG40" s="152"/>
      <c r="AH40" s="152"/>
      <c r="AI40" s="152"/>
      <c r="AJ40" s="152"/>
      <c r="AK40" s="152"/>
      <c r="AR40" s="141"/>
      <c r="AW40" s="87"/>
    </row>
    <row r="41" spans="2:49" s="51" customFormat="1" ht="1.5" customHeight="1">
      <c r="B41" s="97"/>
      <c r="C41" s="98"/>
      <c r="D41" s="98"/>
      <c r="E41" s="98"/>
      <c r="F41" s="98"/>
      <c r="G41" s="98"/>
      <c r="H41" s="98"/>
      <c r="I41" s="98"/>
      <c r="J41" s="98"/>
      <c r="K41" s="99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61"/>
      <c r="AD41" s="161"/>
      <c r="AE41" s="161"/>
      <c r="AF41" s="152"/>
      <c r="AG41" s="152"/>
      <c r="AH41" s="152"/>
      <c r="AI41" s="152"/>
      <c r="AJ41" s="152"/>
      <c r="AK41" s="152"/>
      <c r="AR41" s="141"/>
      <c r="AW41" s="87"/>
    </row>
    <row r="42" spans="1:49" s="51" customFormat="1" ht="15.75">
      <c r="A42" s="53"/>
      <c r="B42" s="169"/>
      <c r="C42" s="229" t="s">
        <v>6</v>
      </c>
      <c r="D42" s="229"/>
      <c r="E42" s="229"/>
      <c r="F42" s="229"/>
      <c r="G42" s="100"/>
      <c r="H42" s="101"/>
      <c r="I42" s="100"/>
      <c r="J42" s="100"/>
      <c r="K42" s="103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61"/>
      <c r="AD42" s="161"/>
      <c r="AE42" s="161"/>
      <c r="AF42" s="152"/>
      <c r="AG42" s="152"/>
      <c r="AH42" s="152"/>
      <c r="AI42" s="152"/>
      <c r="AJ42" s="152"/>
      <c r="AK42" s="152"/>
      <c r="AR42" s="141"/>
      <c r="AW42" s="87"/>
    </row>
    <row r="43" spans="1:49" s="51" customFormat="1" ht="15.75">
      <c r="A43" s="53"/>
      <c r="B43" s="169"/>
      <c r="C43" s="229" t="s">
        <v>7</v>
      </c>
      <c r="D43" s="229"/>
      <c r="E43" s="229"/>
      <c r="F43" s="229"/>
      <c r="G43" s="100"/>
      <c r="H43" s="101"/>
      <c r="I43" s="158"/>
      <c r="J43" s="104"/>
      <c r="K43" s="103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61"/>
      <c r="AD43" s="161"/>
      <c r="AE43" s="161"/>
      <c r="AF43" s="152"/>
      <c r="AG43" s="152"/>
      <c r="AH43" s="152"/>
      <c r="AI43" s="152"/>
      <c r="AJ43" s="152"/>
      <c r="AK43" s="152"/>
      <c r="AR43" s="141"/>
      <c r="AW43" s="87"/>
    </row>
    <row r="44" spans="1:37" ht="15.75">
      <c r="A44" s="15"/>
      <c r="B44" s="169"/>
      <c r="C44" s="229" t="s">
        <v>8</v>
      </c>
      <c r="D44" s="229"/>
      <c r="E44" s="229"/>
      <c r="F44" s="229"/>
      <c r="G44" s="102"/>
      <c r="H44" s="101"/>
      <c r="I44" s="100"/>
      <c r="J44" s="100"/>
      <c r="K44" s="103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61"/>
      <c r="AD44" s="161"/>
      <c r="AE44" s="161"/>
      <c r="AF44" s="152"/>
      <c r="AG44" s="152"/>
      <c r="AH44" s="152"/>
      <c r="AI44" s="152"/>
      <c r="AJ44" s="152"/>
      <c r="AK44" s="152"/>
    </row>
    <row r="45" spans="1:37" ht="5.25" customHeight="1">
      <c r="A45" s="15"/>
      <c r="B45" s="105"/>
      <c r="C45" s="106"/>
      <c r="D45" s="107"/>
      <c r="E45" s="107"/>
      <c r="F45" s="107"/>
      <c r="G45" s="107"/>
      <c r="H45" s="107"/>
      <c r="I45" s="159"/>
      <c r="J45" s="159"/>
      <c r="K45" s="160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61"/>
      <c r="AD45" s="161"/>
      <c r="AE45" s="161"/>
      <c r="AF45" s="152"/>
      <c r="AG45" s="152"/>
      <c r="AH45" s="152"/>
      <c r="AI45" s="152"/>
      <c r="AJ45" s="152"/>
      <c r="AK45" s="152"/>
    </row>
    <row r="46" spans="1:37" ht="7.5" customHeight="1">
      <c r="A46" s="15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61"/>
      <c r="AD46" s="161"/>
      <c r="AE46" s="161"/>
      <c r="AF46" s="152"/>
      <c r="AG46" s="152"/>
      <c r="AH46" s="152"/>
      <c r="AI46" s="152"/>
      <c r="AJ46" s="152"/>
      <c r="AK46" s="152"/>
    </row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 hidden="1"/>
    <row r="97" ht="12.75" hidden="1"/>
    <row r="98" ht="12.75" hidden="1"/>
    <row r="99" ht="12.75" hidden="1"/>
    <row r="100" ht="12.75" hidden="1"/>
    <row r="101" ht="12.75" hidden="1">
      <c r="C101" t="s">
        <v>176</v>
      </c>
    </row>
    <row r="102" ht="12.75" hidden="1">
      <c r="C102" t="s">
        <v>191</v>
      </c>
    </row>
    <row r="103" spans="3:24" ht="12.75" hidden="1">
      <c r="C103" t="s">
        <v>228</v>
      </c>
      <c r="X103" t="s">
        <v>237</v>
      </c>
    </row>
    <row r="104" spans="3:31" ht="12.75" hidden="1">
      <c r="C104" t="s">
        <v>192</v>
      </c>
      <c r="X104" s="90" t="str">
        <f>IF(AA126=1,AH127,IF(AA126=5,AH131,IF(AA126=6,AH132,IF(AA126=7,AH133,IF(AA126=8,AH134,IF(AA126=10,AH136,IF(AA126=11,AH137,IF(AA126=12,AH138,Y104))))))))</f>
        <v>------</v>
      </c>
      <c r="Y104" t="str">
        <f>IF(AA126=14,AH140,IF(AA126=16,AH142,IF(AA126=17,AH143,IF(AA126=18,AH144,IF(AA126=19,AH145,IF(AA126=20,AH146,IF(AA126=21,AH147,IF(AA126=23,AH149,Z104))))))))</f>
        <v>------</v>
      </c>
      <c r="Z104" t="str">
        <f>IF(AA126=24,AH150,IF(AA126=26,AH152,IF(AA126=27,AH153,IF(AA126=28,AH154,IF(AA126=29,AH155,IF(AA126=31,AH157,IF(AA126=35,AH161,IF(AA126=39,AH165,AA104))))))))</f>
        <v>------</v>
      </c>
      <c r="AA104" t="str">
        <f>IF(AA126=40,AH166,IF(AA126=42,AH168,IF(AA126=43,AH169,IF(AA126=44,AH170,IF(AA126=45,AH171,IF(AA126=46,AH172,IF(AA126=49,AH175,IF(AA126=50,AH176,AB104))))))))</f>
        <v>------</v>
      </c>
      <c r="AB104" t="str">
        <f>IF(AA126=51,AH177,IF(AA126=52,AH178,IF(AA126=53,AH179,IF(AA126=56,AH182,IF(AA126=58,AH184,IF(AA126=59,AH185,IF(AA126=60,AH186,IF(AA126=61,AH187,AC104))))))))</f>
        <v>------</v>
      </c>
      <c r="AC104" s="69" t="str">
        <f>IF(AA126=62,AH188,IF(AA126=64,AH190,IF(AA126=65,AH191,IF(AA126=66,AH192,IF(AA126=67,AH193,IF(AA126=68,AH194,IF(AA126=69,AH195,IF(AA126=70,AH196,AD104))))))))</f>
        <v>------</v>
      </c>
      <c r="AD104" s="69" t="str">
        <f>IF(AA126=71,AH197,IF(AA126=72,AH198,IF(AA126=73,AH199,IF(AA126=76,AH202,IF(AA126=78,AH204,IF(AA126=79,AH205,IF(AA126=80,AH206,IF(AA126=81,AH207,AE104))))))))</f>
        <v>------</v>
      </c>
      <c r="AE104" s="69" t="str">
        <f>IF(AA126=83,AH209,AH211)</f>
        <v>------</v>
      </c>
    </row>
    <row r="105" ht="12.75" hidden="1"/>
    <row r="106" ht="12.75" hidden="1">
      <c r="X106" t="s">
        <v>233</v>
      </c>
    </row>
    <row r="107" spans="5:31" ht="12.75" hidden="1">
      <c r="E107" s="16"/>
      <c r="X107" s="90">
        <f>IF(AA126=1,AF127,IF(AA126=5,AF131,IF(AA126=6,AF132,IF(AA126=7,AF133,IF(AA126=8,AF134,IF(AA126=10,AF136,IF(AA126=11,AF137,IF(AA126=12,AF138,Y107))))))))</f>
      </c>
      <c r="Y107">
        <f>IF(AA126=14,AF140,IF(AA126=16,AF142,IF(AA126=17,AF143,IF(AA126=18,AF144,IF(AA126=19,AF145,IF(AA126=20,AF146,IF(AA126=21,AF147,IF(AA126=23,AF149,Z107))))))))</f>
      </c>
      <c r="Z107">
        <f>IF(AA126=24,AF150,IF(AA126=26,AF152,IF(AA126=27,AF153,IF(AA126=28,AF154,IF(AA126=29,AF155,IF(AA126=31,AF157,IF(AA126=35,AF161,IF(AA126=39,AF165,AA107))))))))</f>
      </c>
      <c r="AA107" s="133">
        <f>IF(AA126=40,AF166,IF(AA126=42,AF168,IF(AA126=43,AF169,IF(AA126=44,AF170,IF(AA126=45,AF171,IF(AA126=46,AF172,IF(AA126=49,AF175,IF(AA126=50,AF176,AB107))))))))</f>
      </c>
      <c r="AB107" s="133">
        <f>IF(AA126=51,AF177,IF(AA126=52,AF178,IF(AA126=53,AF179,IF(AA126=56,AF182,IF(AA126=58,AF184,IF(AA126=59,AF185,IF(AA126=60,AF186,IF(AA126=61,AF187,AC107))))))))</f>
      </c>
      <c r="AC107" s="69">
        <f>IF(AA126=62,AF188,IF(AA126=64,AF190,IF(AA126=65,AF191,IF(AA126=66,AF192,IF(AA126=67,AF193,IF(AA126=68,AF194,IF(AA126=69,AF195,IF(AA126=70,AF196,AD107))))))))</f>
      </c>
      <c r="AD107" s="69">
        <f>IF(AA126=71,AF197,IF(AA126=72,AF198,IF(AA126=73,AF199,IF(AA126=76,AF202,IF(AA126=78,AF204,IF(AA126=79,AF205,IF(AA126=80,AF206,IF(AA126=81,AF207,AE107))))))))</f>
      </c>
      <c r="AE107" s="69">
        <f>IF(AA126=83,AF209,AF211)</f>
      </c>
    </row>
    <row r="108" ht="12.75" hidden="1">
      <c r="C108" s="43" t="s">
        <v>0</v>
      </c>
    </row>
    <row r="109" spans="3:24" ht="12.75" hidden="1">
      <c r="C109" s="44" t="s">
        <v>168</v>
      </c>
      <c r="E109" s="221"/>
      <c r="F109" s="221"/>
      <c r="G109" s="221"/>
      <c r="X109" s="16" t="s">
        <v>231</v>
      </c>
    </row>
    <row r="110" spans="3:31" ht="12.75" hidden="1">
      <c r="C110" s="44" t="s">
        <v>1</v>
      </c>
      <c r="E110" s="222"/>
      <c r="F110" s="222"/>
      <c r="G110" s="222"/>
      <c r="X110" s="90" t="str">
        <f>IF(AA126=1,AG127,IF(AA126=5,AG131,IF(AA126=6,AG132,IF(AA126=7,AG133,IF(AA126=8,AG134,IF(AA126=10,AG136,IF(AA126=11,AG137,IF(AA126=12,AG138,Y110))))))))</f>
        <v>------</v>
      </c>
      <c r="Y110" t="str">
        <f>IF(AA126=14,AG140,IF(AA126=16,AG142,IF(AA126=17,AG143,IF(AA126=18,AG144,IF(AA126=19,AG145,IF(AA126=20,AG146,IF(AA126=21,AG147,IF(AA126=23,AG149,Z110))))))))</f>
        <v>------</v>
      </c>
      <c r="Z110" s="133" t="str">
        <f>IF(AA126=24,AG150,IF(AA126=26,AG152,IF(AA126=27,AG153,IF(AA126=28,AG154,IF(AA126=29,AG155,IF(AA126=31,AG157,IF(AA126=35,AG161,IF(AA126=39,AG165,AA110))))))))</f>
        <v>------</v>
      </c>
      <c r="AA110" s="133" t="str">
        <f>IF(AA126=40,AG166,IF(AA126=42,AG168,IF(AA126=43,AG169,IF(AA126=44,AG170,IF(AA126=45,AG171,IF(AA126=46,AG172,IF(AA126=49,AG175,IF(AA126=50,AG176,AB110))))))))</f>
        <v>------</v>
      </c>
      <c r="AB110" s="133" t="str">
        <f>IF(AA126=51,AG177,IF(AA126=52,AG178,IF(AA126=53,AG179,IF(AA126=56,AG182,IF(AA126=58,AG184,IF(AA126=59,AG185,IF(AA126=60,AG186,IF(AA126=61,AG187,AC110))))))))</f>
        <v>------</v>
      </c>
      <c r="AC110" s="69" t="str">
        <f>IF(AA126=62,AG188,IF(AA126=64,AG190,IF(AA126=65,AG191,IF(AA126=66,AG192,IF(AA126=67,AG193,IF(AA126=68,AG194,IF(AA126=69,AG195,IF(AA126=70,AG196,AD110))))))))</f>
        <v>------</v>
      </c>
      <c r="AD110" s="69" t="str">
        <f>IF(AA126=71,AG197,IF(AA126=72,AG198,IF(AA126=73,AG199,IF(AA126=76,AG202,IF(AA126=78,AG204,IF(AA126=79,AG205,IF(AA126=80,AG206,IF(AA126=81,AG207,AE110))))))))</f>
        <v>------</v>
      </c>
      <c r="AE110" s="69" t="str">
        <f>IF(AA126=83,AG209,AG211)</f>
        <v>------</v>
      </c>
    </row>
    <row r="111" ht="12.75" hidden="1"/>
    <row r="112" spans="3:24" ht="12.75" hidden="1">
      <c r="C112" s="16"/>
      <c r="X112" s="113" t="s">
        <v>226</v>
      </c>
    </row>
    <row r="113" spans="24:32" ht="12.75" hidden="1">
      <c r="X113" s="90">
        <f>IF(AA126=1,W127,IF(AA126=2,W128,IF(AA126=3,W130,IF(AA126=4,W131,IF(AA126=5,W132,IF(AA126=6,W133,IF(AA126=7,W134,IF(AA126=8,0,Y113))))))))</f>
        <v>63</v>
      </c>
      <c r="Y113" s="133">
        <f>IF(AA126=9,W135,IF(AA126=10,0,IF(AA126=11,W136,IF(AA126=12,W138,IF(AA126=13,W139,IF(AA126=14,W140,IF(AA126=15,W142,IF(AA126=16,W143,Z113))))))))</f>
        <v>0</v>
      </c>
      <c r="Z113" s="133">
        <f>IF(AA126=17,W144,IF(AA126=18,W145,IF(AA126=19,W146,IF(AA126=20,W147,IF(AA126=21,W148,IF(AA126=22,W150,IF(AA126=23,W151,IF(AA126=24,0,AA113))))))))</f>
        <v>0</v>
      </c>
      <c r="AA113" s="133">
        <f>IF(AA126=25,W152,IF(AA126=26,W153,IF(AA126=27,W154,IF(AA126=28,W155,IF(AA126=29,W156,IF(AA126=30,W157,IF(AA126=31,W159,IF(AA126=32,W160,AB113))))))))</f>
        <v>0</v>
      </c>
      <c r="AB113" s="133">
        <f>IF(AA126=33,W161,IF(AA126=34,W163,IF(AA126=35,W165,IF(AA126=36,W166,IF(AA126=37,W167,IF(AA126=38,W169,IF(AA126=39,W170,IF(AA126=40,W172,AC113))))))))</f>
        <v>0</v>
      </c>
      <c r="AC113" s="69">
        <f>IF(AA126=41,W174,IF(AA126=42,W175,IF(AA126=43,W176,IF(AA126=44,W177,IF(AA126=45,W178,IF(AA126=46,W179,IF(AA126=47,W180,IF(AA126=48,W181,AD113))))))))</f>
        <v>0</v>
      </c>
      <c r="AD113" s="69">
        <f>IF(AA126=49,W182,IF(AA126=50,W183,IF(AA126=51,W184,IF(AA126=52,W185,IF(AA126=53,W186,IF(AA126=54,W187,IF(AA126=55,W188,IF(AA126=56,W190,AE113))))))))</f>
        <v>0</v>
      </c>
      <c r="AE113" s="69">
        <f>IF(AA126=57,W191,IF(AA126=58,W192,IF(AA126=59,W193,IF(AA126=60,W194,IF(AA126=61,W195,IF(AA126=62,W196,IF(AA126=63,W197,IF(AA126=64,W198,AF113))))))))</f>
        <v>0</v>
      </c>
      <c r="AF113">
        <f>IF(AA126=65,W199,IF(AA126=66,W201,IF(AA126=67,0,IF(AA126=68,0,IF(AA126=69,W202,IF(AA126=70,W203,IF(AA126=71,W204,IF(AA126=72,W205,Y114))))))))</f>
        <v>0</v>
      </c>
    </row>
    <row r="114" spans="3:26" ht="12.75" hidden="1">
      <c r="C114" s="221"/>
      <c r="D114" s="221"/>
      <c r="E114" s="221"/>
      <c r="Y114" s="133">
        <f>IF(AA126=73,W207,IF(AA126=74,W208,IF(AA126=75,W209,IF(AA126=76,W211,IF(AA126=77,W212,IF(AA126=78,W214,IF(AA126=79,W216,IF(AA126=80,W217,Z114))))))))</f>
        <v>0</v>
      </c>
      <c r="Z114" s="133">
        <f>IF(AA126=81,W218,IF(AA126=82,W219,IF(AA126=83,W221,IF(AA126=84,W222,0))))</f>
        <v>0</v>
      </c>
    </row>
    <row r="115" spans="3:30" ht="12.75" hidden="1">
      <c r="C115" s="222"/>
      <c r="D115" s="222"/>
      <c r="E115" s="222"/>
      <c r="AB115" s="89" t="s">
        <v>217</v>
      </c>
      <c r="AD115" s="85">
        <f>IF(X127&lt;51,X127*R127,IF(X127&lt;101,X127*S127,IF(X127&lt;301,X127*T127,IF(X127&lt;501,X127*U127,X127*V127))))+IF(B122=1,X127*7,0)+IF(B123=1,X127*10,0)</f>
        <v>0</v>
      </c>
    </row>
    <row r="116" spans="24:28" ht="12.75" hidden="1">
      <c r="X116" s="113" t="s">
        <v>207</v>
      </c>
      <c r="AB116" s="73">
        <f>IF(D10=0,0,ROUND(IF(C119=1,IF(D10=0,0,IF(X117/D10&gt;200,X117*15,IF(X117/D10&gt;79,X117*10,0))),IF(D130=0,0,X125*0.3)),0))</f>
        <v>0</v>
      </c>
    </row>
    <row r="117" spans="3:34" ht="12.75" hidden="1">
      <c r="C117" s="72">
        <v>1</v>
      </c>
      <c r="D117" t="s">
        <v>194</v>
      </c>
      <c r="G117" s="109">
        <f>IF(C117=1,0,IF(C117=2,D10*100,IF(C117=3,IF(C119=1,D10*200,D10*0),IF(C119=1,0,IF(H10&lt;1,850,H10*850)))))</f>
        <v>0</v>
      </c>
      <c r="H117" s="75">
        <f aca="true" t="shared" si="0" ref="H117:H122">N(I117)</f>
        <v>0</v>
      </c>
      <c r="I117" s="150" t="b">
        <v>0</v>
      </c>
      <c r="J117" t="s">
        <v>197</v>
      </c>
      <c r="M117" s="116">
        <f>IF(C119=1,0,IF(C119=2,IF(H117=1,X125*0.3,0),0))</f>
        <v>0</v>
      </c>
      <c r="X117" s="90">
        <f>IF(AA126=1,X127,IF(AA126=2,X128,IF(AA126=3,X130,IF(AA126=4,X131,IF(AA126=5,X132,IF(AA126=6,X133,IF(AA126=7,X134,IF(AA126=8,0,Y117))))))))</f>
        <v>0</v>
      </c>
      <c r="Y117" s="85">
        <f>IF(AA126=9,X135,IF(AA126=10,0,IF(AA126=11,X136,IF(AA126=12,X137,IF(AA126=13,X139,IF(AA126=14,X140,IF(AA126=15,X142,IF(AA126=16,X143,Z117))))))))</f>
        <v>0</v>
      </c>
      <c r="Z117" s="85">
        <f>IF(AA126=17,X144,IF(AA126=18,X145,IF(AA126=19,X146,IF(AA126=20,X147,IF(AA126=21,X148,IF(AA126=22,X150,IF(AA126=23,X151,IF(AA126=24,0,AA117))))))))</f>
        <v>0</v>
      </c>
      <c r="AA117" s="85">
        <f>IF(AA126=25,X152,IF(AA126=26,X153,IF(AA126=27,X154,IF(AA126=28,X155,IF(AA126=29,X156,IF(AA126=30,X157,IF(AA126=31,X159,IF(AA126=32,X160,AB117))))))))</f>
        <v>0</v>
      </c>
      <c r="AB117" s="85">
        <f>IF(AA126=33,X161,IF(AA126=34,X163,IF(AA126=35,X165,IF(AA126=36,X166,IF(AA126=37,X167,IF(AA126=38,X168,IF(AA126=39,X170,IF(AA126=40,X172,AC117))))))))</f>
        <v>0</v>
      </c>
      <c r="AC117" s="85">
        <f>IF(AA126=41,X174,IF(AA126=42,X175,IF(AA126=43,X176,IF(AA126=44,X177,IF(AA126=45,X178,IF(AA126=46,X179,IF(AA126=47,X180,IF(AA126=48,X181,AD117))))))))</f>
        <v>0</v>
      </c>
      <c r="AD117" s="85">
        <f>IF(AA126=49,X182,IF(AA126=50,X183,IF(AA126=51,X184,IF(AA126=52,X185,IF(AA126=53,X186,IF(AA126=54,X187,IF(AA126=55,X188,IF(AA126=56,X190,AE117))))))))</f>
        <v>0</v>
      </c>
      <c r="AE117" s="85">
        <f>IF(AA126=57,X191,IF(AA126=58,X192,IF(AA126=59,X193,IF(AA126=60,X194,IF(AA126=61,X195,IF(AA126=62,X196,IF(AA126=63,X197,IF(AA126=64,X198,AF117))))))))</f>
        <v>0</v>
      </c>
      <c r="AF117" s="85">
        <f>IF(AA126=65,X199,IF(AA126=66,X201,IF(AA126=67,0,IF(AA126=68,0,IF(AA126=69,X202,IF(AA126=70,0,IF(AA126=71,X204,IF(AA126=72,X205,Y118))))))))</f>
        <v>0</v>
      </c>
      <c r="AG117" s="85"/>
      <c r="AH117" s="85"/>
    </row>
    <row r="118" spans="3:34" ht="12.75" hidden="1">
      <c r="C118" s="72">
        <v>2</v>
      </c>
      <c r="D118" t="s">
        <v>177</v>
      </c>
      <c r="H118" s="75">
        <f t="shared" si="0"/>
        <v>0</v>
      </c>
      <c r="I118" s="150" t="b">
        <v>0</v>
      </c>
      <c r="J118" t="s">
        <v>198</v>
      </c>
      <c r="M118" s="116">
        <f>IF(C119=1,0,IF(H118=0,0,X125*0.1))</f>
        <v>0</v>
      </c>
      <c r="X118" s="85"/>
      <c r="Y118" s="85">
        <f>IF(AA126=73,X207,IF(AA126=74,X208,IF(AA126=75,X209,IF(AA126=76,X211,IF(AA126=77,X212,IF(AA126=78,X214,IF(AA126=79,X216,IF(AA126=80,X217,Z118))))))))</f>
        <v>0</v>
      </c>
      <c r="Z118" s="85">
        <f>IF(AA126=81,X218,IF(AA126=82,X219,IF(AA126=83,X221,IF(AA126=84,X222,0))))</f>
        <v>0</v>
      </c>
      <c r="AA118" s="85"/>
      <c r="AB118" s="85"/>
      <c r="AC118" s="85"/>
      <c r="AD118" s="85"/>
      <c r="AE118" s="85"/>
      <c r="AF118" s="85"/>
      <c r="AG118" s="85"/>
      <c r="AH118" s="85"/>
    </row>
    <row r="119" spans="3:13" ht="12.75" hidden="1">
      <c r="C119" s="72">
        <v>1</v>
      </c>
      <c r="D119" t="s">
        <v>178</v>
      </c>
      <c r="H119" s="75">
        <f t="shared" si="0"/>
        <v>0</v>
      </c>
      <c r="I119" s="150" t="b">
        <v>0</v>
      </c>
      <c r="J119" s="115" t="s">
        <v>199</v>
      </c>
      <c r="M119" s="116">
        <f>IF(H119=0,0,IF(C125=0,750,IF(H10/8&gt;F10/1400,ROUNDUP(H10/8,0)*IF(C119=1,2400,1600),ROUNDUP(F10/1400,0)*IF(C119=1,2400,1600))))</f>
        <v>0</v>
      </c>
    </row>
    <row r="120" spans="2:13" ht="12.75" hidden="1">
      <c r="B120" s="74">
        <f>N(C120)</f>
        <v>0</v>
      </c>
      <c r="C120" s="149" t="b">
        <v>0</v>
      </c>
      <c r="D120" t="s">
        <v>180</v>
      </c>
      <c r="G120">
        <f>IF(B120=0,0,IF(F28=0,0,M119*0.5*(F28-1)))</f>
        <v>0</v>
      </c>
      <c r="H120" s="75">
        <f t="shared" si="0"/>
        <v>0</v>
      </c>
      <c r="I120" s="150" t="b">
        <v>0</v>
      </c>
      <c r="J120" t="s">
        <v>200</v>
      </c>
      <c r="M120" s="116">
        <f>IF(H119=0,0,IF(H120=0,0,750))</f>
        <v>0</v>
      </c>
    </row>
    <row r="121" spans="2:24" ht="12.75" hidden="1">
      <c r="B121" s="110"/>
      <c r="C121" s="72"/>
      <c r="D121" t="s">
        <v>181</v>
      </c>
      <c r="H121" s="75">
        <f t="shared" si="0"/>
        <v>0</v>
      </c>
      <c r="I121" s="150" t="b">
        <v>0</v>
      </c>
      <c r="J121" t="s">
        <v>201</v>
      </c>
      <c r="M121" s="165">
        <f>ROUND(IF(H119=0,0,IF(H121=0,0,IF(C119=1,ROUND(F10,0),IF(H121=0,0,IF(F10*1&gt;H10*100,F10,H10*100))))),0)</f>
        <v>0</v>
      </c>
      <c r="X121" t="s">
        <v>219</v>
      </c>
    </row>
    <row r="122" spans="2:34" ht="12.75" hidden="1">
      <c r="B122" s="74">
        <f>N(C122)</f>
        <v>0</v>
      </c>
      <c r="C122" s="149" t="b">
        <v>0</v>
      </c>
      <c r="D122" s="22" t="s">
        <v>195</v>
      </c>
      <c r="E122" s="22"/>
      <c r="F122" s="22"/>
      <c r="G122" s="114">
        <f>IF(C119=1,IF(B122=1,X117*7,0),0)</f>
        <v>0</v>
      </c>
      <c r="H122" s="75">
        <f t="shared" si="0"/>
        <v>0</v>
      </c>
      <c r="I122" s="150" t="b">
        <v>0</v>
      </c>
      <c r="J122" t="s">
        <v>202</v>
      </c>
      <c r="M122" s="116">
        <f>IF(H119=0,0,IF(H122=0,0,M119*0.5))</f>
        <v>0</v>
      </c>
      <c r="X122" s="108" t="str">
        <f>IF(AA126=1,AB127,IF(AA126=2,AB128,IF(AA126=3,AB129,IF(AA126=4,AB130,IF(AA126=5,AB131,IF(AA126=6,AB132,IF(AA126=7,AB133,IF(AA126=8,AB134,Y122))))))))</f>
        <v>АБАКАН</v>
      </c>
      <c r="Y122" s="111" t="str">
        <f>IF(AA126=9,AB135,IF(AA126=10,AB136,IF(AA126=11,AB137,IF(AA126=12,AB138,IF(AA126=13,AB139,IF(AA126=14,AB140,IF(AA126=15,AB141,IF(AA126=16,AB142,Z122))))))))</f>
        <v>ЯРОСЛАВЛЬ</v>
      </c>
      <c r="Z122" s="111" t="str">
        <f>IF(AA126=17,AB143,IF(AA126=18,AB144,IF(AA126=19,AB145,IF(AA126=20,AB146,IF(AA126=21,AB147,IF(AA126=22,AB148,IF(AA126=23,AB149,IF(AA126=24,AB150,AA122))))))))</f>
        <v>ЯРОСЛАВЛЬ</v>
      </c>
      <c r="AA122" s="111" t="str">
        <f>IF(AA126=25,AB151,IF(AA126=26,AB152,IF(AA126=27,AB153,IF(AA126=28,AB154,IF(AA126=29,AB155,IF(AA126=30,AB156,IF(AA126=31,AB157,IF(AA126=32,AB158,AB122))))))))</f>
        <v>ЯРОСЛАВЛЬ</v>
      </c>
      <c r="AB122" s="111" t="str">
        <f>IF(AA126=33,AB159,IF(AA126=34,AB160,IF(AA126=35,AB161,IF(AA126=36,AB162,IF(AA126=37,AB163,IF(AA126=38,AB164,IF(AA126=39,AB165,IF(AA126=40,AB166,AC122))))))))</f>
        <v>ЯРОСЛАВЛЬ</v>
      </c>
      <c r="AC122" s="111" t="str">
        <f>IF(AA126=41,AB167,IF(AA126=42,AB168,IF(AA126=43,AB169,IF(AA126=44,AB170,IF(AA126=45,AB171,IF(AA126=46,AB172,IF(AA126=47,AB173,IF(AA126=48,AB174,AD122))))))))</f>
        <v>ЯРОСЛАВЛЬ</v>
      </c>
      <c r="AD122" s="111" t="str">
        <f>IF(AA126=49,AB175,IF(AA126=50,AB176,IF(AA126=51,AB177,IF(AA126=52,AB178,IF(AA126=53,AB179,IF(AA126=54,AB180,IF(AA126=55,AB181,IF(AA126=56,AB182,AE122))))))))</f>
        <v>ЯРОСЛАВЛЬ</v>
      </c>
      <c r="AE122" s="111" t="str">
        <f>IF(AA126=57,AB183,IF(AA126=58,AB184,IF(AA126=59,AB185,IF(AA126=60,AB186,IF(AA126=61,AB187,IF(AA126=62,AB188,IF(AA126=63,AB189,IF(AA126=64,AB190,AF122))))))))</f>
        <v>ЯРОСЛАВЛЬ</v>
      </c>
      <c r="AF122" s="111" t="str">
        <f>IF(AA126=65,AB191,IF(AA126=66,AB192,IF(AA126=67,AB193,IF(AA126=68,AB194,IF(AA126=69,AB195,IF(AA126=70,AB196,IF(AA126=71,AB197,IF(AA126=72,AB198,Y123))))))))</f>
        <v>ЯРОСЛАВЛЬ</v>
      </c>
      <c r="AG122" s="111"/>
      <c r="AH122" s="111"/>
    </row>
    <row r="123" spans="2:30" ht="13.5" hidden="1" thickBot="1">
      <c r="B123" s="74">
        <f>N(C123)</f>
        <v>0</v>
      </c>
      <c r="C123" s="149" t="b">
        <v>0</v>
      </c>
      <c r="D123" t="s">
        <v>196</v>
      </c>
      <c r="G123" s="114">
        <f>IF(C119=1,IF(B123=1,X117*10,0),0)</f>
        <v>0</v>
      </c>
      <c r="H123" s="74"/>
      <c r="Y123" s="85" t="str">
        <f>IF(AA126=73,AB199,IF(AA126=74,AB200,IF(AA126=75,AB201,IF(AA126=76,AB202,IF(AA126=77,AB203,IF(AA126=78,AB204,IF(AA126=79,AB205,IF(AA126=80,AB206,Z123))))))))</f>
        <v>ЯРОСЛАВЛЬ</v>
      </c>
      <c r="Z123" s="85" t="str">
        <f>IF(AA126=81,AB207,IF(AA126=82,AB208,IF(AA126=83,AB209,IF(AA126=84,AB210,AB211))))</f>
        <v>ЯРОСЛАВЛЬ</v>
      </c>
      <c r="AD123" s="82"/>
    </row>
    <row r="124" spans="13:44" ht="23.25" hidden="1">
      <c r="M124" s="234" t="s">
        <v>248</v>
      </c>
      <c r="N124" s="235"/>
      <c r="O124" s="235"/>
      <c r="P124" s="235"/>
      <c r="Q124" s="235"/>
      <c r="R124" s="235"/>
      <c r="S124" s="235"/>
      <c r="T124" s="235"/>
      <c r="U124" s="235"/>
      <c r="V124" s="236"/>
      <c r="X124" t="s">
        <v>218</v>
      </c>
      <c r="AA124" s="85">
        <f>IF(AA126=73,Z199,IF(AA126=74,Z200,IF(AA126=75,Z201,IF(AA126=76,Z202,IF(AA126=77,Z203,IF(AA126=78,Z204,IF(AA126=79,Z205,IF(AA126=80,Z206,AB124))))))))</f>
        <v>1</v>
      </c>
      <c r="AB124" s="85">
        <f>IF(AA126=81,Z207,IF(AA126=82,Z208,IF(AA126=83,Z209,IF(AA126=84,Z210,Z211))))</f>
        <v>1</v>
      </c>
      <c r="AI124" s="242" t="s">
        <v>276</v>
      </c>
      <c r="AJ124" s="243"/>
      <c r="AK124" s="243"/>
      <c r="AL124" s="243"/>
      <c r="AM124" s="243"/>
      <c r="AN124" s="243"/>
      <c r="AO124" s="243"/>
      <c r="AP124" s="243"/>
      <c r="AQ124" s="244"/>
      <c r="AR124" s="143"/>
    </row>
    <row r="125" spans="3:44" ht="15" hidden="1">
      <c r="C125" s="75">
        <f>N(D125)</f>
        <v>0</v>
      </c>
      <c r="D125" t="b">
        <f>OR(F10&gt;3,H10&gt;0.01)</f>
        <v>0</v>
      </c>
      <c r="M125" s="237" t="s">
        <v>10</v>
      </c>
      <c r="N125" s="238" t="s">
        <v>11</v>
      </c>
      <c r="O125" s="239" t="s">
        <v>12</v>
      </c>
      <c r="P125" s="23" t="s">
        <v>13</v>
      </c>
      <c r="Q125" s="24" t="s">
        <v>14</v>
      </c>
      <c r="R125" s="24" t="s">
        <v>15</v>
      </c>
      <c r="S125" s="24" t="s">
        <v>203</v>
      </c>
      <c r="T125" s="24" t="s">
        <v>204</v>
      </c>
      <c r="U125" s="24" t="s">
        <v>205</v>
      </c>
      <c r="V125" s="79" t="s">
        <v>206</v>
      </c>
      <c r="X125" s="136">
        <f>IF(AA126=1,Z127,IF(AA126=2,Z128,IF(AA126=3,Z129,IF(AA126=4,Z130,IF(AA126=5,Z131,IF(AA126=6,Z132,IF(AA126=7,Z133,IF(AA126=8,Z134,Y125))))))))</f>
        <v>0</v>
      </c>
      <c r="Y125" s="85">
        <f>IF(AA126=9,Z135,IF(AA126=10,Z136,IF(AA126=11,Z137,IF(AA126=12,Z138,IF(AA126=13,Z139,IF(AA126=14,Z140,IF(AA126=15,Z141,IF(AA126=16,Z142,Z125))))))))</f>
        <v>1</v>
      </c>
      <c r="Z125" s="85">
        <f>IF(AA126=17,Z143,IF(AA126=18,Z144,IF(AA126=19,Z145,IF(AA126=20,Z146,IF(AA126=21,Z147,IF(AA126=22,Z148,IF(AA126=23,Z149,IF(AA126=24,Z150,AA125))))))))</f>
        <v>1</v>
      </c>
      <c r="AA125" s="85">
        <f>IF(AA126=25,Z151,IF(AA126=26,Z152,IF(AA126=27,Z153,IF(AA126=28,Z154,IF(AA126=29,Z155,IF(AA126=30,Z156,IF(AA126=31,Z157,IF(AA126=32,Z158,AB125))))))))</f>
        <v>1</v>
      </c>
      <c r="AB125" s="85">
        <f>IF(AA126=33,Z159,IF(AA126=34,Z160,IF(AA126=35,Z161,IF(AA126=36,Z162,IF(AA126=37,Z163,IF(AA126=38,Z164,IF(AA126=39,Z165,IF(AA126=40,Z166,AC125))))))))</f>
        <v>1</v>
      </c>
      <c r="AC125" s="85">
        <f>IF(AA126=41,Z167,IF(AA126=42,Z168,IF(AA126=43,Z169,IF(AA126=44,Z170,IF(AA126=45,Z171,IF(AA126=46,Z172,IF(AA126=47,Z173,IF(AA126=48,Z174,AD125))))))))</f>
        <v>1</v>
      </c>
      <c r="AD125" s="85">
        <f>IF(AA126=49,Z175,IF(AA126=50,Z176,IF(AA126=51,Z177,IF(AA126=52,Z178,IF(AA126=53,Z179,IF(AA126=54,Z180,IF(AA126=55,Z181,IF(AA126=56,Z182,AE125))))))))</f>
        <v>1</v>
      </c>
      <c r="AE125" s="85">
        <f>IF(AA126=57,Z183,IF(AA126=58,Z184,IF(AA126=59,Z185,IF(AA126=60,Z186,IF(AA126=61,Z187,IF(AA126=62,Z188,IF(AA126=63,Z189,IF(AA126=64,Z190,AF125))))))))</f>
        <v>1</v>
      </c>
      <c r="AF125" s="85">
        <f>IF(AA126=65,Z191,IF(AA126=66,Z192,IF(AA126=67,Z193,IF(AA126=68,Z194,IF(AA126=69,Z195,IF(AA126=70,Z196,IF(AA126=71,Z197,IF(AA126=72,Z198,AA124))))))))</f>
        <v>1</v>
      </c>
      <c r="AG125" s="85"/>
      <c r="AH125" s="85"/>
      <c r="AI125" s="245" t="s">
        <v>10</v>
      </c>
      <c r="AJ125" s="247" t="s">
        <v>277</v>
      </c>
      <c r="AK125" s="248"/>
      <c r="AL125" s="248"/>
      <c r="AM125" s="249"/>
      <c r="AN125" s="250" t="s">
        <v>123</v>
      </c>
      <c r="AO125" s="248"/>
      <c r="AP125" s="248"/>
      <c r="AQ125" s="249"/>
      <c r="AR125" s="144"/>
    </row>
    <row r="126" spans="13:50" ht="51" hidden="1">
      <c r="M126" s="237"/>
      <c r="N126" s="238"/>
      <c r="O126" s="239"/>
      <c r="P126" s="25" t="s">
        <v>5</v>
      </c>
      <c r="Q126" s="25" t="s">
        <v>16</v>
      </c>
      <c r="R126" s="78" t="s">
        <v>17</v>
      </c>
      <c r="S126" s="78" t="s">
        <v>17</v>
      </c>
      <c r="T126" s="78" t="s">
        <v>17</v>
      </c>
      <c r="U126" s="78" t="s">
        <v>17</v>
      </c>
      <c r="V126" s="80" t="s">
        <v>17</v>
      </c>
      <c r="W126" s="135" t="s">
        <v>226</v>
      </c>
      <c r="X126" s="83" t="s">
        <v>207</v>
      </c>
      <c r="Y126" s="84" t="s">
        <v>208</v>
      </c>
      <c r="Z126" s="84" t="s">
        <v>209</v>
      </c>
      <c r="AA126" s="151">
        <v>1</v>
      </c>
      <c r="AB126" s="70" t="s">
        <v>193</v>
      </c>
      <c r="AC126" s="69" t="s">
        <v>213</v>
      </c>
      <c r="AD126" s="69" t="s">
        <v>214</v>
      </c>
      <c r="AE126" s="69" t="s">
        <v>215</v>
      </c>
      <c r="AF126" s="84" t="s">
        <v>235</v>
      </c>
      <c r="AG126" s="84" t="s">
        <v>236</v>
      </c>
      <c r="AH126" s="84" t="s">
        <v>238</v>
      </c>
      <c r="AI126" s="246"/>
      <c r="AJ126" s="209" t="s">
        <v>124</v>
      </c>
      <c r="AK126" s="210" t="s">
        <v>278</v>
      </c>
      <c r="AL126" s="30" t="s">
        <v>125</v>
      </c>
      <c r="AM126" s="31" t="s">
        <v>126</v>
      </c>
      <c r="AN126" s="209" t="s">
        <v>124</v>
      </c>
      <c r="AO126" s="210" t="s">
        <v>278</v>
      </c>
      <c r="AP126" s="30" t="s">
        <v>125</v>
      </c>
      <c r="AQ126" s="31" t="s">
        <v>126</v>
      </c>
      <c r="AR126" s="145"/>
      <c r="AS126" s="83" t="s">
        <v>210</v>
      </c>
      <c r="AT126" s="166" t="s">
        <v>216</v>
      </c>
      <c r="AU126" s="84" t="s">
        <v>211</v>
      </c>
      <c r="AV126" s="83" t="s">
        <v>210</v>
      </c>
      <c r="AW126" s="166" t="s">
        <v>216</v>
      </c>
      <c r="AX126" s="84" t="s">
        <v>212</v>
      </c>
    </row>
    <row r="127" spans="4:50" ht="15" hidden="1">
      <c r="D127" s="94" t="s">
        <v>220</v>
      </c>
      <c r="L127" s="71"/>
      <c r="M127" s="76" t="s">
        <v>18</v>
      </c>
      <c r="N127" s="175" t="s">
        <v>245</v>
      </c>
      <c r="O127" s="176" t="s">
        <v>19</v>
      </c>
      <c r="P127" s="176">
        <v>30</v>
      </c>
      <c r="Q127" s="177">
        <f>P127*R127</f>
        <v>1890</v>
      </c>
      <c r="R127" s="178">
        <v>63</v>
      </c>
      <c r="S127" s="178">
        <v>62</v>
      </c>
      <c r="T127" s="178">
        <v>61</v>
      </c>
      <c r="U127" s="178">
        <v>60</v>
      </c>
      <c r="V127" s="179">
        <v>59</v>
      </c>
      <c r="W127" s="134">
        <f>IF(X127&lt;51,R127,IF(X127&lt;101,S127,IF(X127&lt;301,T127,IF(X127&lt;501,U127,V127))))</f>
        <v>63</v>
      </c>
      <c r="X127" s="96">
        <f>IF(D128=0,0,ROUNDUP(IF(IF((167*H10)&lt;F10,F10,(167*H10))&lt;P127,P127,IF((167*H10)&lt;F10,F10,(167*H10))),0))</f>
        <v>0</v>
      </c>
      <c r="Z127" s="85">
        <f>IF(C119=1,ROUND(AD115,0),IF(C119=2,ROUND(AD127,0),ROUND(AE127,0)))</f>
        <v>0</v>
      </c>
      <c r="AA127" s="68">
        <v>1</v>
      </c>
      <c r="AB127" t="s">
        <v>18</v>
      </c>
      <c r="AC127" s="85">
        <f>IF(X127&lt;51,X127*R127,IF(X127&lt;101,X127*S127,IF(X127&lt;301,X127*T127,IF(X127&lt;501,X127*U127,X127*V127))))</f>
        <v>0</v>
      </c>
      <c r="AD127" s="85">
        <f>IF(AT127="МИН",AK127,IF(AT127="по весу",AS127*AL127,AS127*AM127))</f>
        <v>0</v>
      </c>
      <c r="AE127" s="92">
        <v>1</v>
      </c>
      <c r="AF127" s="133">
        <f>IF(C119=2,AT127,IF(C119=1,"",AW127))</f>
      </c>
      <c r="AG127" s="146" t="str">
        <f>IF(C119=2,IF(AT127="по весу",AL127,IF(AT127="мин",AK127,AM127)),IF(AW127="по весу",AP127,IF(AW127="мин",AO127,AQ127)))</f>
        <v>------</v>
      </c>
      <c r="AH127" s="137" t="str">
        <f>IF(C119=2,AJ127,AN127)</f>
        <v>------</v>
      </c>
      <c r="AI127" s="32" t="s">
        <v>18</v>
      </c>
      <c r="AJ127" s="33" t="s">
        <v>251</v>
      </c>
      <c r="AK127" s="27">
        <v>1200</v>
      </c>
      <c r="AL127" s="34">
        <v>21.92</v>
      </c>
      <c r="AM127" s="29">
        <v>4805</v>
      </c>
      <c r="AN127" s="33" t="s">
        <v>128</v>
      </c>
      <c r="AO127" s="35" t="s">
        <v>128</v>
      </c>
      <c r="AP127" s="35" t="s">
        <v>128</v>
      </c>
      <c r="AQ127" s="29" t="s">
        <v>128</v>
      </c>
      <c r="AS127" s="85">
        <f>IF(H10=0,F10,IF(F10/H10&lt;200,H10,F10))</f>
        <v>0</v>
      </c>
      <c r="AT127" s="85">
        <f>IF(AS127=0,0,(IF(AS127=H10,IF(AS127*AM127&gt;AK127,"по объёму","МИН"),IF(AS127*AL127&gt;AK127,"по весу","МИН"))))</f>
        <v>0</v>
      </c>
      <c r="AV127" s="85"/>
      <c r="AW127" s="93"/>
      <c r="AX127" s="85"/>
    </row>
    <row r="128" spans="4:50" ht="15" hidden="1">
      <c r="D128" s="95">
        <f>IF(AND(F10=0,H10=0),0,1)</f>
        <v>0</v>
      </c>
      <c r="L128" s="81"/>
      <c r="M128" s="240" t="s">
        <v>20</v>
      </c>
      <c r="N128" s="180" t="s">
        <v>21</v>
      </c>
      <c r="O128" s="178" t="s">
        <v>22</v>
      </c>
      <c r="P128" s="178">
        <v>30</v>
      </c>
      <c r="Q128" s="177">
        <f aca="true" t="shared" si="1" ref="Q128:Q191">P128*R128</f>
        <v>5700</v>
      </c>
      <c r="R128" s="181">
        <v>190</v>
      </c>
      <c r="S128" s="181">
        <f aca="true" t="shared" si="2" ref="S128:V132">R128</f>
        <v>190</v>
      </c>
      <c r="T128" s="181">
        <f t="shared" si="2"/>
        <v>190</v>
      </c>
      <c r="U128" s="181">
        <f t="shared" si="2"/>
        <v>190</v>
      </c>
      <c r="V128" s="182">
        <f t="shared" si="2"/>
        <v>190</v>
      </c>
      <c r="W128" s="134">
        <f aca="true" t="shared" si="3" ref="W128:W191">IF(X128&lt;51,R128,IF(X128&lt;101,S128,IF(X128&lt;301,T128,IF(X128&lt;501,U128,V128))))</f>
        <v>190</v>
      </c>
      <c r="X128" s="96">
        <f>IF(D128=0,0,ROUNDUP(IF(IF((167*H10)&lt;F10,F10,(167*H10))&lt;P128,P128,IF((167*H10)&lt;F10,F10,(167*H10))),0))</f>
        <v>0</v>
      </c>
      <c r="Z128" s="85">
        <f>IF(C119=1,ROUND(AC128,0),IF(C119=2,ROUND(AD128,0),ROUND(AE128,0)))</f>
        <v>0</v>
      </c>
      <c r="AA128" s="68">
        <v>2</v>
      </c>
      <c r="AB128" t="s">
        <v>20</v>
      </c>
      <c r="AC128" s="85">
        <f>IF(X128&lt;51,X128*R128,IF(X128&lt;101,X128*S128,IF(X128&lt;301,X128*T128,IF(X128&lt;501,X128*U128,X128*V128))))</f>
        <v>0</v>
      </c>
      <c r="AD128" s="92">
        <v>1</v>
      </c>
      <c r="AE128" s="92">
        <v>1</v>
      </c>
      <c r="AI128" s="32" t="s">
        <v>29</v>
      </c>
      <c r="AJ128" s="33" t="s">
        <v>252</v>
      </c>
      <c r="AK128" s="27">
        <v>750</v>
      </c>
      <c r="AL128" s="34">
        <v>10.79</v>
      </c>
      <c r="AM128" s="29">
        <v>1847</v>
      </c>
      <c r="AN128" s="33" t="s">
        <v>128</v>
      </c>
      <c r="AO128" s="35" t="s">
        <v>128</v>
      </c>
      <c r="AP128" s="35" t="s">
        <v>128</v>
      </c>
      <c r="AQ128" s="29" t="s">
        <v>128</v>
      </c>
      <c r="AS128" s="85">
        <f>IF(H10=0,F10,IF(F10/H10&lt;200,H10,F10))</f>
        <v>0</v>
      </c>
      <c r="AT128" s="85">
        <f>IF(AS128=0,0,(IF(AS128=H10,IF(AS128*AM128&gt;AK128,"по объёму","МИН"),IF(AS128*AL128&gt;AK128,"по весу","МИН"))))</f>
        <v>0</v>
      </c>
      <c r="AV128" s="85"/>
      <c r="AW128" s="93"/>
      <c r="AX128" s="85"/>
    </row>
    <row r="129" spans="4:50" ht="15" hidden="1">
      <c r="D129" t="s">
        <v>223</v>
      </c>
      <c r="L129" s="81"/>
      <c r="M129" s="240"/>
      <c r="N129" s="180" t="s">
        <v>23</v>
      </c>
      <c r="O129" s="178" t="s">
        <v>22</v>
      </c>
      <c r="P129" s="178">
        <v>30</v>
      </c>
      <c r="Q129" s="177">
        <f t="shared" si="1"/>
        <v>5700</v>
      </c>
      <c r="R129" s="181">
        <v>190</v>
      </c>
      <c r="S129" s="181">
        <f t="shared" si="2"/>
        <v>190</v>
      </c>
      <c r="T129" s="181">
        <f t="shared" si="2"/>
        <v>190</v>
      </c>
      <c r="U129" s="181">
        <f t="shared" si="2"/>
        <v>190</v>
      </c>
      <c r="V129" s="182">
        <f t="shared" si="2"/>
        <v>190</v>
      </c>
      <c r="W129" s="134">
        <f t="shared" si="3"/>
        <v>190</v>
      </c>
      <c r="X129" s="96">
        <f>IF(D128=0,0,ROUNDUP(IF(IF((167*H10)&lt;F10,F10,(167*H10))&lt;P129,P129,IF((167*H10)&lt;F10,F10,(167*H10))),0))</f>
        <v>0</v>
      </c>
      <c r="Y129" s="85">
        <f>IF(X129&lt;51,X129*R129,IF(X129&lt;101,X129*S129,IF(X129&lt;301,X129*T129,IF(X129&lt;501,X129*U129,X129*V129))))</f>
        <v>0</v>
      </c>
      <c r="Z129" s="85">
        <f>IF(C119=1,ROUND(AC129,0),IF(C119=2,ROUND(AD129,0),ROUND(AE129,0)))</f>
        <v>0</v>
      </c>
      <c r="AA129" s="68">
        <v>3</v>
      </c>
      <c r="AB129" t="s">
        <v>24</v>
      </c>
      <c r="AC129" s="85">
        <f>IF(X130&lt;51,X130*R130,IF(X130&lt;101,X130*S130,IF(X130&lt;301,X130*T130,IF(X130&lt;501,X130*U130,X130*V130))))</f>
        <v>0</v>
      </c>
      <c r="AD129" s="92">
        <v>1</v>
      </c>
      <c r="AE129" s="92">
        <v>1</v>
      </c>
      <c r="AI129" s="32" t="s">
        <v>30</v>
      </c>
      <c r="AJ129" s="33" t="s">
        <v>253</v>
      </c>
      <c r="AK129" s="27">
        <v>750</v>
      </c>
      <c r="AL129" s="34">
        <v>11.67</v>
      </c>
      <c r="AM129" s="29">
        <v>2090</v>
      </c>
      <c r="AN129" s="33" t="s">
        <v>128</v>
      </c>
      <c r="AO129" s="35" t="s">
        <v>128</v>
      </c>
      <c r="AP129" s="35" t="s">
        <v>128</v>
      </c>
      <c r="AQ129" s="29" t="s">
        <v>128</v>
      </c>
      <c r="AS129" s="85">
        <f>IF(H10=0,F10,IF(F10/H10&lt;200,H10,F10))</f>
        <v>0</v>
      </c>
      <c r="AT129" s="85">
        <f>IF(AS129=0,0,(IF(AS129=H10,IF(AS129*AM129&gt;AK129,"по объёму","МИН"),IF(AS129*AL129&gt;AK129,"по весу","МИН"))))</f>
        <v>0</v>
      </c>
      <c r="AV129" s="85"/>
      <c r="AW129" s="93"/>
      <c r="AX129" s="85"/>
    </row>
    <row r="130" spans="4:49" ht="15" hidden="1">
      <c r="D130" s="95">
        <f>IF(D10=0,0,IF(OR(F10/D10&gt;99,H10/D10&gt;0.99999999),1,0))</f>
        <v>0</v>
      </c>
      <c r="L130" s="71"/>
      <c r="M130" s="171" t="s">
        <v>24</v>
      </c>
      <c r="N130" s="180" t="s">
        <v>25</v>
      </c>
      <c r="O130" s="178" t="s">
        <v>22</v>
      </c>
      <c r="P130" s="178">
        <v>20</v>
      </c>
      <c r="Q130" s="177">
        <f t="shared" si="1"/>
        <v>800</v>
      </c>
      <c r="R130" s="181">
        <v>40</v>
      </c>
      <c r="S130" s="181">
        <f t="shared" si="2"/>
        <v>40</v>
      </c>
      <c r="T130" s="181">
        <f t="shared" si="2"/>
        <v>40</v>
      </c>
      <c r="U130" s="181">
        <f t="shared" si="2"/>
        <v>40</v>
      </c>
      <c r="V130" s="182">
        <f t="shared" si="2"/>
        <v>40</v>
      </c>
      <c r="W130" s="134">
        <f t="shared" si="3"/>
        <v>40</v>
      </c>
      <c r="X130" s="96">
        <f>IF(D128=0,0,ROUNDUP(IF(IF((167*H10)&lt;F10,F10,(167*H10))&lt;P130,P130,IF((167*H10)&lt;F10,F10,(167*H10))),0))</f>
        <v>0</v>
      </c>
      <c r="Z130" s="85">
        <f>IF(C119=1,ROUND(AC130,0),IF(C119=2,ROUND(AD130,0),ROUND(AE130,0)))</f>
        <v>0</v>
      </c>
      <c r="AA130" s="68">
        <v>4</v>
      </c>
      <c r="AB130" t="s">
        <v>182</v>
      </c>
      <c r="AC130" s="85">
        <f>IF(X131&lt;51,X131*R131,IF(X131&lt;101,X131*S131,IF(X131&lt;301,X131*T131,IF(X131&lt;501,X131*U131,X131*V131))))</f>
        <v>0</v>
      </c>
      <c r="AD130" s="92">
        <v>1</v>
      </c>
      <c r="AE130" s="92">
        <v>1</v>
      </c>
      <c r="AI130" s="32" t="s">
        <v>31</v>
      </c>
      <c r="AJ130" s="33" t="s">
        <v>254</v>
      </c>
      <c r="AK130" s="27">
        <v>1000</v>
      </c>
      <c r="AL130" s="34">
        <v>17.59</v>
      </c>
      <c r="AM130" s="29">
        <v>3723</v>
      </c>
      <c r="AN130" s="33" t="s">
        <v>153</v>
      </c>
      <c r="AO130" s="36">
        <v>1400</v>
      </c>
      <c r="AP130" s="37">
        <v>8.3</v>
      </c>
      <c r="AQ130" s="29">
        <v>2450</v>
      </c>
      <c r="AS130" s="85">
        <f>IF(H10=0,F10,IF(F10/H10&lt;200,H10,F10))</f>
        <v>0</v>
      </c>
      <c r="AT130" s="85">
        <f>IF(AS130=0,0,(IF(AS130=H10,IF(AS130*AM130&gt;AK130,"по объёму","МИН"),IF(AS130*AL130&gt;AK130,"по весу","МИН"))))</f>
        <v>0</v>
      </c>
      <c r="AV130" s="85">
        <f>IF(F10*AP130&gt;H10*AQ130,F10,H10)</f>
        <v>0</v>
      </c>
      <c r="AW130" s="93">
        <f>IF(AV130=0,0,IF(AV130=H10,IF(AV130*AQ130&gt;AO130,"по объёму","МИН"),IF(AV130=F10,IF(AV130*AP130&gt;AO130,"по весу","МИН"))))</f>
        <v>0</v>
      </c>
    </row>
    <row r="131" spans="12:50" ht="15" hidden="1">
      <c r="L131" s="71"/>
      <c r="M131" s="171" t="s">
        <v>26</v>
      </c>
      <c r="N131" s="180" t="s">
        <v>27</v>
      </c>
      <c r="O131" s="178" t="s">
        <v>28</v>
      </c>
      <c r="P131" s="178">
        <v>30</v>
      </c>
      <c r="Q131" s="177">
        <f t="shared" si="1"/>
        <v>1890</v>
      </c>
      <c r="R131" s="178">
        <v>63</v>
      </c>
      <c r="S131" s="178">
        <v>57</v>
      </c>
      <c r="T131" s="178">
        <f t="shared" si="2"/>
        <v>57</v>
      </c>
      <c r="U131" s="178">
        <f t="shared" si="2"/>
        <v>57</v>
      </c>
      <c r="V131" s="183">
        <f t="shared" si="2"/>
        <v>57</v>
      </c>
      <c r="W131" s="134">
        <f t="shared" si="3"/>
        <v>63</v>
      </c>
      <c r="X131" s="96">
        <f>IF(D128=0,0,ROUNDUP(IF(IF((167*H10)&lt;F10,F10,(167*H10))&lt;P131,P131,IF((167*H10)&lt;F10,F10,(167*H10))),0))</f>
        <v>0</v>
      </c>
      <c r="Z131" s="85">
        <f>IF(C119=1,ROUND(AC131,0),IF(C119=2,ROUND(AD131,0),ROUND(AE131,0)))</f>
        <v>0</v>
      </c>
      <c r="AA131" s="68">
        <v>5</v>
      </c>
      <c r="AB131" t="s">
        <v>29</v>
      </c>
      <c r="AC131" s="85">
        <f>IF(X132&lt;51,X132*R132,IF(X132&lt;101,X132*S132,IF(X132&lt;301,X132*T132,IF(X132&lt;501,X132*U132,X132*V132))))</f>
        <v>0</v>
      </c>
      <c r="AD131" s="85">
        <f>IF(AT128="МИН",AK128,IF(AT128="по весу",AS128*AL128,AS128*AM128))</f>
        <v>0</v>
      </c>
      <c r="AE131" s="92">
        <v>1</v>
      </c>
      <c r="AF131" s="133">
        <f>IF(C119=2,AT128,IF(C119=1,"",AW128))</f>
      </c>
      <c r="AG131" s="146" t="str">
        <f>IF(C119=2,IF(AT128="по весу",AL128,IF(AT128="мин",AK128,AM128)),IF(AW128="по весу",AP128,IF(AW128="мин",AO128,AQ128)))</f>
        <v>------</v>
      </c>
      <c r="AH131" s="137" t="str">
        <f>IF(C119=2,AJ128,AN128)</f>
        <v>------</v>
      </c>
      <c r="AI131" s="32" t="s">
        <v>255</v>
      </c>
      <c r="AJ131" s="33" t="s">
        <v>133</v>
      </c>
      <c r="AK131" s="27">
        <v>1800</v>
      </c>
      <c r="AL131" s="34">
        <v>24.94</v>
      </c>
      <c r="AM131" s="29">
        <v>4518</v>
      </c>
      <c r="AN131" s="33" t="s">
        <v>128</v>
      </c>
      <c r="AO131" s="35" t="s">
        <v>128</v>
      </c>
      <c r="AP131" s="35" t="s">
        <v>128</v>
      </c>
      <c r="AQ131" s="29" t="s">
        <v>128</v>
      </c>
      <c r="AS131" s="85">
        <f>IF(H10=0,F10,IF(F10/H10&lt;200,H10,F10))</f>
        <v>0</v>
      </c>
      <c r="AT131" s="85">
        <f>IF(AS131=0,0,(IF(AS131=H10,IF(AS131*AM131&gt;AK131,"по объёму","МИН"),IF(AS131*AL131&gt;AK131,"по весу","МИН"))))</f>
        <v>0</v>
      </c>
      <c r="AV131" s="85"/>
      <c r="AW131" s="93"/>
      <c r="AX131" s="85"/>
    </row>
    <row r="132" spans="4:50" ht="15" hidden="1">
      <c r="D132" t="s">
        <v>225</v>
      </c>
      <c r="L132" s="71"/>
      <c r="M132" s="171" t="s">
        <v>29</v>
      </c>
      <c r="N132" s="180" t="s">
        <v>27</v>
      </c>
      <c r="O132" s="178" t="s">
        <v>28</v>
      </c>
      <c r="P132" s="178">
        <v>30</v>
      </c>
      <c r="Q132" s="177">
        <f t="shared" si="1"/>
        <v>1740</v>
      </c>
      <c r="R132" s="181">
        <v>58</v>
      </c>
      <c r="S132" s="181">
        <f t="shared" si="2"/>
        <v>58</v>
      </c>
      <c r="T132" s="181">
        <f t="shared" si="2"/>
        <v>58</v>
      </c>
      <c r="U132" s="181">
        <f t="shared" si="2"/>
        <v>58</v>
      </c>
      <c r="V132" s="182">
        <f t="shared" si="2"/>
        <v>58</v>
      </c>
      <c r="W132" s="134">
        <f t="shared" si="3"/>
        <v>58</v>
      </c>
      <c r="X132" s="96">
        <f>IF(D128=0,0,ROUNDUP(IF(IF((167*H10)&lt;F10,F10,(167*H10))&lt;P132,P132,IF((167*H10)&lt;F10,F10,(167*H10))),0))</f>
        <v>0</v>
      </c>
      <c r="Z132" s="85">
        <f>IF(C119=1,ROUND(AC132,0),IF(C119=2,ROUND(AD132,0),ROUND(AE132,0)))</f>
        <v>0</v>
      </c>
      <c r="AA132" s="68">
        <v>6</v>
      </c>
      <c r="AB132" t="s">
        <v>30</v>
      </c>
      <c r="AC132" s="85">
        <f>IF(X133&lt;51,X133*R133,IF(X133&lt;101,X133*S133,IF(X133&lt;301,X133*T133,IF(X133&lt;501,X133*U133,X133*V133))))</f>
        <v>0</v>
      </c>
      <c r="AD132" s="85">
        <f>IF(AT129="МИН",AK129,IF(AT129="по весу",AS129*AL129,AS129*AM129))</f>
        <v>0</v>
      </c>
      <c r="AE132" s="92">
        <v>1</v>
      </c>
      <c r="AF132" s="133">
        <f>IF(C119=2,AT129,IF(C119=1,"",AW129))</f>
      </c>
      <c r="AG132" s="146" t="str">
        <f>IF(C119=2,IF(AT129="по весу",AL129,IF(AT129="мин",AK129,AM129)),IF(AW129="по весу",AP129,IF(AW129="мин",AO129,AQ129)))</f>
        <v>------</v>
      </c>
      <c r="AH132" s="137" t="str">
        <f>IF(C119=2,AJ129,AN129)</f>
        <v>------</v>
      </c>
      <c r="AI132" s="32" t="s">
        <v>134</v>
      </c>
      <c r="AJ132" s="33" t="s">
        <v>133</v>
      </c>
      <c r="AK132" s="27">
        <v>1800</v>
      </c>
      <c r="AL132" s="34">
        <v>25.68</v>
      </c>
      <c r="AM132" s="29">
        <v>4660</v>
      </c>
      <c r="AN132" s="33" t="s">
        <v>128</v>
      </c>
      <c r="AO132" s="35" t="s">
        <v>128</v>
      </c>
      <c r="AP132" s="35" t="s">
        <v>128</v>
      </c>
      <c r="AQ132" s="29" t="s">
        <v>128</v>
      </c>
      <c r="AS132" s="85">
        <f>IF(H10=0,F10,IF(F10/H10&lt;200,H10,F10))</f>
        <v>0</v>
      </c>
      <c r="AT132" s="85">
        <f>IF(AS132=0,0,(IF(AS132=H10,IF(AS132*AM132&gt;AK132,"по объёму","МИН"),IF(AS132*AL132&gt;AK132,"по весу","МИН"))))</f>
        <v>0</v>
      </c>
      <c r="AV132" s="85"/>
      <c r="AW132" s="93"/>
      <c r="AX132" s="85"/>
    </row>
    <row r="133" spans="4:49" ht="15" hidden="1">
      <c r="D133" t="str">
        <f>CONCATENATE("авиаперевозка-",X125,";"," авианакладная-450",IF(AB116=0,"",CONCATENATE("; негабарит-",AB116)),IF(E13=0,"",CONCATENATE("; страховка-",E13*0.007)),IF(D10=0,"",IF(C117=2,CONCATENATE("; упаковка-",G117),IF(C117=3,CONCATENATE("; упаковка-",G117),""))),IF(B122=0,"",CONCATENATE("; обработка транзитного груза-",G122)),IF(B123=0,"",CONCATENATE("; экспресс отправка-",G123)),D139,D142)</f>
        <v>авиаперевозка-0; авианакладная-450</v>
      </c>
      <c r="L133" s="71"/>
      <c r="M133" s="171" t="s">
        <v>30</v>
      </c>
      <c r="N133" s="180" t="s">
        <v>25</v>
      </c>
      <c r="O133" s="178" t="s">
        <v>22</v>
      </c>
      <c r="P133" s="178">
        <v>20</v>
      </c>
      <c r="Q133" s="177">
        <f t="shared" si="1"/>
        <v>1020</v>
      </c>
      <c r="R133" s="198">
        <v>51</v>
      </c>
      <c r="S133" s="198">
        <v>49</v>
      </c>
      <c r="T133" s="198">
        <v>49</v>
      </c>
      <c r="U133" s="198">
        <v>49</v>
      </c>
      <c r="V133" s="203">
        <v>49</v>
      </c>
      <c r="W133" s="134">
        <f t="shared" si="3"/>
        <v>51</v>
      </c>
      <c r="X133" s="96">
        <f>IF(D128=0,0,ROUNDUP(IF(IF((167*H10)&lt;F10,F10,(167*H10))&lt;P133,P133,IF((167*H10)&lt;F10,F10,(167*H10))),0))</f>
        <v>0</v>
      </c>
      <c r="Z133" s="85">
        <f>IF(C119=1,ROUND(AC133,0),IF(C119=2,ROUND(AD133,0),ROUND(AE133,0)))</f>
        <v>0</v>
      </c>
      <c r="AA133" s="68">
        <v>7</v>
      </c>
      <c r="AB133" t="s">
        <v>31</v>
      </c>
      <c r="AC133" s="85">
        <f>IF(X134&lt;51,X134*R134,IF(X134&lt;101,X134*S134,IF(X134&lt;301,X134*T134,IF(X134&lt;501,X134*U134,X134*V134))))</f>
        <v>0</v>
      </c>
      <c r="AD133" s="85">
        <f>IF(AT130="МИН",AK130,IF(AT130="по весу",AS130*AL130,AS130*AM130))</f>
        <v>0</v>
      </c>
      <c r="AE133" s="91">
        <f>IF(AW130="МИН",AO130,IF(AW130="по весу",AV130*AP130,AV130*AQ130))</f>
        <v>0</v>
      </c>
      <c r="AF133" s="133">
        <f>IF(C119=2,AT130,IF(C119=1,"",AW130))</f>
      </c>
      <c r="AG133" s="146">
        <f>IF(C119=2,IF(AT130="по весу",AL130,IF(AT130="мин",AK130,AM130)),IF(AW130="по весу",AP130,IF(AW130="мин",AO130,AQ130)))</f>
        <v>2450</v>
      </c>
      <c r="AH133" s="137" t="str">
        <f>IF(C119=2,AJ130,AN130)</f>
        <v>7-8</v>
      </c>
      <c r="AI133" s="32" t="s">
        <v>135</v>
      </c>
      <c r="AJ133" s="33" t="s">
        <v>133</v>
      </c>
      <c r="AK133" s="27">
        <v>1800</v>
      </c>
      <c r="AL133" s="34">
        <v>25.36</v>
      </c>
      <c r="AM133" s="29">
        <v>4599</v>
      </c>
      <c r="AN133" s="33" t="s">
        <v>279</v>
      </c>
      <c r="AO133" s="36">
        <v>1600</v>
      </c>
      <c r="AP133" s="37">
        <v>19.6</v>
      </c>
      <c r="AQ133" s="29">
        <v>2950</v>
      </c>
      <c r="AS133" s="85">
        <f>IF(H10=0,F10,IF(F10/H10&lt;200,H10,F10))</f>
        <v>0</v>
      </c>
      <c r="AT133" s="85">
        <f>IF(AS133=0,0,(IF(AS133=H10,IF(AS133*AM133&gt;AK133,"по объёму","МИН"),IF(AS133*AL133&gt;AK133,"по весу","МИН"))))</f>
        <v>0</v>
      </c>
      <c r="AV133" s="85">
        <f>IF(F10*AP133&gt;H10*AQ133,F10,H10)</f>
        <v>0</v>
      </c>
      <c r="AW133" s="93">
        <f>IF(AV133=0,0,IF(AV133=H10,IF(AV133*AQ133&gt;AO133,"по объёму","МИН"),IF(AV133=F10,IF(AV133*AP133&gt;AO133,"по весу","МИН"))))</f>
        <v>0</v>
      </c>
    </row>
    <row r="134" spans="12:50" ht="15" hidden="1">
      <c r="L134" s="71"/>
      <c r="M134" s="171" t="s">
        <v>31</v>
      </c>
      <c r="N134" s="180" t="s">
        <v>25</v>
      </c>
      <c r="O134" s="178" t="s">
        <v>22</v>
      </c>
      <c r="P134" s="178">
        <v>20</v>
      </c>
      <c r="Q134" s="177">
        <f t="shared" si="1"/>
        <v>1080</v>
      </c>
      <c r="R134" s="198">
        <v>54</v>
      </c>
      <c r="S134" s="198">
        <v>53</v>
      </c>
      <c r="T134" s="198">
        <v>53</v>
      </c>
      <c r="U134" s="198">
        <v>53</v>
      </c>
      <c r="V134" s="206">
        <v>53</v>
      </c>
      <c r="W134" s="134">
        <f t="shared" si="3"/>
        <v>54</v>
      </c>
      <c r="X134" s="96">
        <f>IF(D128=0,0,ROUNDUP(IF(IF((167*H10)&lt;F10,F10,(167*H10))&lt;P134,P134,IF((167*H10)&lt;F10,F10,(167*H10))),0))</f>
        <v>0</v>
      </c>
      <c r="Z134" s="85">
        <f>IF(C119=1,ROUND(AC134,0),IF(C119=2,ROUND(AD134,0),ROUND(AE134,0)))</f>
        <v>1</v>
      </c>
      <c r="AA134" s="68">
        <v>8</v>
      </c>
      <c r="AB134" t="s">
        <v>183</v>
      </c>
      <c r="AC134" s="92">
        <v>1</v>
      </c>
      <c r="AD134" s="85">
        <f>IF(AT131="МИН",AK131,IF(AT131="по весу",AS131*AL131,AS131*AM131))</f>
        <v>0</v>
      </c>
      <c r="AE134" s="92">
        <v>1</v>
      </c>
      <c r="AF134" s="133">
        <f>IF(C119=2,AT131,IF(C119=1,"",AW131))</f>
      </c>
      <c r="AG134" s="146" t="str">
        <f>IF(C119=2,IF(AT131="по весу",AL131,IF(AT131="мин",AK131,AM131)),IF(AW131="по весу",AP131,IF(AW131="мин",AO131,AQ131)))</f>
        <v>------</v>
      </c>
      <c r="AH134" s="137" t="str">
        <f>IF(C119=2,AJ131,AN131)</f>
        <v>------</v>
      </c>
      <c r="AI134" s="32" t="s">
        <v>35</v>
      </c>
      <c r="AJ134" s="33" t="s">
        <v>256</v>
      </c>
      <c r="AK134" s="27">
        <v>1600</v>
      </c>
      <c r="AL134" s="34">
        <v>23.11</v>
      </c>
      <c r="AM134" s="29">
        <v>5103</v>
      </c>
      <c r="AN134" s="33" t="s">
        <v>128</v>
      </c>
      <c r="AO134" s="35" t="s">
        <v>128</v>
      </c>
      <c r="AP134" s="35" t="s">
        <v>128</v>
      </c>
      <c r="AQ134" s="29" t="s">
        <v>128</v>
      </c>
      <c r="AS134" s="85">
        <f>IF(H10=0,F10,IF(F10/H10&lt;200,H10,F10))</f>
        <v>0</v>
      </c>
      <c r="AT134" s="85">
        <f>IF(AS134=0,0,(IF(AS134=H10,IF(AS134*AM134&gt;AK134,"по объёму","МИН"),IF(AS134*AL134&gt;AK134,"по весу","МИН"))))</f>
        <v>0</v>
      </c>
      <c r="AV134" s="85"/>
      <c r="AW134" s="93"/>
      <c r="AX134" s="85"/>
    </row>
    <row r="135" spans="4:49" ht="15" hidden="1">
      <c r="D135" t="s">
        <v>227</v>
      </c>
      <c r="L135" s="71"/>
      <c r="M135" s="171" t="s">
        <v>32</v>
      </c>
      <c r="N135" s="180" t="s">
        <v>122</v>
      </c>
      <c r="O135" s="178" t="s">
        <v>19</v>
      </c>
      <c r="P135" s="178">
        <v>30</v>
      </c>
      <c r="Q135" s="177">
        <f t="shared" si="1"/>
        <v>2700</v>
      </c>
      <c r="R135" s="184">
        <v>90</v>
      </c>
      <c r="S135" s="181">
        <f aca="true" t="shared" si="4" ref="S135:V136">R135</f>
        <v>90</v>
      </c>
      <c r="T135" s="181">
        <f t="shared" si="4"/>
        <v>90</v>
      </c>
      <c r="U135" s="181">
        <f t="shared" si="4"/>
        <v>90</v>
      </c>
      <c r="V135" s="182">
        <f t="shared" si="4"/>
        <v>90</v>
      </c>
      <c r="W135" s="134">
        <f t="shared" si="3"/>
        <v>90</v>
      </c>
      <c r="X135" s="96">
        <f>IF(D128=0,0,ROUNDUP(IF(IF((167*H10)&lt;F10,F10,(167*H10))&lt;P135,P135,IF((167*H10)&lt;F10,F10,(167*H10))),0))</f>
        <v>0</v>
      </c>
      <c r="Z135" s="85">
        <f>IF(C119=1,ROUND(AC135,0),IF(C119=2,ROUND(AD135,0),ROUND(AE135,0)))</f>
        <v>0</v>
      </c>
      <c r="AA135" s="68">
        <v>9</v>
      </c>
      <c r="AB135" t="s">
        <v>32</v>
      </c>
      <c r="AC135" s="85">
        <f>IF(X135&lt;51,X135*R135,IF(X135&lt;101,X135*S135,IF(X135&lt;301,X135*T135,IF(X135&lt;501,X135*U135,X135*V135))))</f>
        <v>0</v>
      </c>
      <c r="AD135" s="92">
        <v>1</v>
      </c>
      <c r="AE135" s="92">
        <v>1</v>
      </c>
      <c r="AI135" s="32" t="s">
        <v>136</v>
      </c>
      <c r="AJ135" s="33" t="s">
        <v>137</v>
      </c>
      <c r="AK135" s="27">
        <v>1800</v>
      </c>
      <c r="AL135" s="34">
        <v>27.29</v>
      </c>
      <c r="AM135" s="29">
        <v>4965</v>
      </c>
      <c r="AN135" s="33" t="s">
        <v>138</v>
      </c>
      <c r="AO135" s="36">
        <v>1460</v>
      </c>
      <c r="AP135" s="37">
        <v>15.7</v>
      </c>
      <c r="AQ135" s="29">
        <v>3200</v>
      </c>
      <c r="AS135" s="85">
        <f>IF(H10=0,F10,IF(F10/H10&lt;200,H10,F10))</f>
        <v>0</v>
      </c>
      <c r="AT135" s="85">
        <f>IF(AS135=0,0,(IF(AS135=H10,IF(AS135*AM135&gt;AK135,"по объёму","МИН"),IF(AS135*AL135&gt;AK135,"по весу","МИН"))))</f>
        <v>0</v>
      </c>
      <c r="AV135" s="85">
        <f>IF(F10*AP135&gt;H10*AQ135,F10,H10)</f>
        <v>0</v>
      </c>
      <c r="AW135" s="93">
        <f>IF(AV135=0,0,IF(AV135=H10,IF(AV135*AQ135&gt;AO135,"по объёму","МИН"),IF(AV135=F10,IF(AV135*AP135&gt;AO135,"по весу","МИН"))))</f>
        <v>0</v>
      </c>
    </row>
    <row r="136" spans="4:50" ht="15" hidden="1">
      <c r="D136" s="95">
        <f>IF(OR(X125=0,X125=1),0,1)</f>
        <v>0</v>
      </c>
      <c r="L136" s="71"/>
      <c r="M136" s="251" t="s">
        <v>34</v>
      </c>
      <c r="N136" s="185" t="s">
        <v>267</v>
      </c>
      <c r="O136" s="186" t="s">
        <v>22</v>
      </c>
      <c r="P136" s="186">
        <v>30</v>
      </c>
      <c r="Q136" s="187">
        <f t="shared" si="1"/>
        <v>2850</v>
      </c>
      <c r="R136" s="184">
        <v>95</v>
      </c>
      <c r="S136" s="181">
        <f t="shared" si="4"/>
        <v>95</v>
      </c>
      <c r="T136" s="181">
        <f t="shared" si="4"/>
        <v>95</v>
      </c>
      <c r="U136" s="181">
        <f t="shared" si="4"/>
        <v>95</v>
      </c>
      <c r="V136" s="182">
        <f t="shared" si="4"/>
        <v>95</v>
      </c>
      <c r="W136" s="134">
        <f t="shared" si="3"/>
        <v>95</v>
      </c>
      <c r="X136" s="96">
        <f>IF(D128=0,0,ROUNDUP(IF(IF((167*H10)&lt;F10,F10,(167*H10))&lt;P136,P136,IF((167*H10)&lt;F10,F10,(167*H10))),0))</f>
        <v>0</v>
      </c>
      <c r="Z136" s="85">
        <f>IF(C119=1,ROUND(AC136,0),IF(C119=2,ROUND(AD136,0),ROUND(AE136,0)))</f>
        <v>1</v>
      </c>
      <c r="AA136" s="68">
        <v>10</v>
      </c>
      <c r="AB136" t="s">
        <v>184</v>
      </c>
      <c r="AC136" s="92">
        <v>1</v>
      </c>
      <c r="AD136" s="85">
        <f>IF(AT132="МИН",AK132,IF(AT132="по весу",AS132*AL132,AS132*AM132))</f>
        <v>0</v>
      </c>
      <c r="AE136" s="92">
        <v>1</v>
      </c>
      <c r="AF136" s="133">
        <f>IF(C119=2,AT132,IF(C119=1,"",AW132))</f>
      </c>
      <c r="AG136" s="146" t="str">
        <f>IF(C119=2,IF(AT132="по весу",AL132,IF(AT132="мин",AK132,AM132)),IF(AW132="по весу",AP132,IF(AW132="мин",AO132,AQ132)))</f>
        <v>------</v>
      </c>
      <c r="AH136" s="137" t="str">
        <f>IF(C119=2,AJ132,AN132)</f>
        <v>------</v>
      </c>
      <c r="AI136" s="32" t="s">
        <v>41</v>
      </c>
      <c r="AJ136" s="33" t="s">
        <v>139</v>
      </c>
      <c r="AK136" s="27">
        <v>600</v>
      </c>
      <c r="AL136" s="34">
        <v>9.9</v>
      </c>
      <c r="AM136" s="29">
        <v>1548</v>
      </c>
      <c r="AN136" s="33" t="s">
        <v>139</v>
      </c>
      <c r="AO136" s="27">
        <v>600</v>
      </c>
      <c r="AP136" s="34">
        <v>9.9</v>
      </c>
      <c r="AQ136" s="29">
        <v>1548</v>
      </c>
      <c r="AS136" s="85">
        <f>IF(H10=0,F10,IF(F10/H10&lt;200,H10,F10))</f>
        <v>0</v>
      </c>
      <c r="AT136" s="85">
        <f>IF(AS136=0,0,(IF(AS136=H10,IF(AS136*AM136&gt;AK136,"по объёму","МИН"),IF(AS136*AL136&gt;AK136,"по весу","МИН"))))</f>
        <v>0</v>
      </c>
      <c r="AV136" s="85"/>
      <c r="AW136" s="93"/>
      <c r="AX136" s="85"/>
    </row>
    <row r="137" spans="12:50" ht="15" hidden="1">
      <c r="L137" s="81"/>
      <c r="M137" s="252"/>
      <c r="N137" s="188" t="s">
        <v>72</v>
      </c>
      <c r="O137" s="189" t="s">
        <v>19</v>
      </c>
      <c r="P137" s="189">
        <v>30</v>
      </c>
      <c r="Q137" s="189">
        <f t="shared" si="1"/>
        <v>2760</v>
      </c>
      <c r="R137" s="190">
        <v>92</v>
      </c>
      <c r="S137" s="178">
        <v>90</v>
      </c>
      <c r="T137" s="178">
        <v>90</v>
      </c>
      <c r="U137" s="178">
        <v>90</v>
      </c>
      <c r="V137" s="183">
        <v>90</v>
      </c>
      <c r="W137" s="134">
        <f t="shared" si="3"/>
        <v>92</v>
      </c>
      <c r="X137" s="96">
        <f>IF(D128=0,0,ROUNDUP(IF(IF((167*H10)&lt;F10,F10,(167*H10))&lt;P137,P137,IF((167*H10)&lt;F10,F10,(167*H10))),0))</f>
        <v>0</v>
      </c>
      <c r="Z137" s="85">
        <f>IF(C119=1,ROUND(AC137,0),IF(C119=2,ROUND(AD137,0),ROUND(AE137,0)))</f>
        <v>0</v>
      </c>
      <c r="AA137" s="68">
        <v>11</v>
      </c>
      <c r="AB137" t="s">
        <v>34</v>
      </c>
      <c r="AC137" s="85">
        <f>IF(X136&lt;51,X136*R136,IF(X136&lt;101,X136*S136,IF(X136&lt;301,X136*T136,IF(X136&lt;501,X136*U136,X136*V136))))</f>
        <v>0</v>
      </c>
      <c r="AD137" s="85">
        <f>IF(AT133="МИН",AK133,IF(AT133="по весу",AS133*AL133,AS133*AM133))</f>
        <v>0</v>
      </c>
      <c r="AE137" s="91">
        <f>IF(AW133="МИН",AO133,IF(AW133="по весу",AV133*AP133,AV133*AQ133))</f>
        <v>0</v>
      </c>
      <c r="AF137" s="133">
        <f>IF(C119=2,AT133,IF(C119=1,"",AW133))</f>
      </c>
      <c r="AG137" s="146">
        <f>IF(C119=2,IF(AT133="по весу",AL133,IF(AT133="мин",AK133,AM133)),IF(AW133="по весу",AP133,IF(AW133="мин",AO133,AQ133)))</f>
        <v>2950</v>
      </c>
      <c r="AH137" s="137" t="str">
        <f>IF(C119=2,AJ133,AN133)</f>
        <v>13-15</v>
      </c>
      <c r="AI137" s="32" t="s">
        <v>42</v>
      </c>
      <c r="AJ137" s="33" t="s">
        <v>139</v>
      </c>
      <c r="AK137" s="27">
        <v>750</v>
      </c>
      <c r="AL137" s="34">
        <v>9.29</v>
      </c>
      <c r="AM137" s="29">
        <v>1433</v>
      </c>
      <c r="AN137" s="33" t="s">
        <v>128</v>
      </c>
      <c r="AO137" s="35" t="s">
        <v>128</v>
      </c>
      <c r="AP137" s="35" t="s">
        <v>128</v>
      </c>
      <c r="AQ137" s="29" t="s">
        <v>128</v>
      </c>
      <c r="AS137" s="85">
        <f>IF(H10=0,F10,IF(F10/H10&lt;200,H10,F10))</f>
        <v>0</v>
      </c>
      <c r="AT137" s="85">
        <f>IF(AS137=0,0,(IF(AS137=H10,IF(AS137*AM137&gt;AK137,"по объёму","МИН"),IF(AS137*AL137&gt;AK137,"по весу","МИН"))))</f>
        <v>0</v>
      </c>
      <c r="AV137" s="85"/>
      <c r="AW137" s="93"/>
      <c r="AX137" s="85"/>
    </row>
    <row r="138" spans="4:49" ht="15" hidden="1">
      <c r="D138" t="s">
        <v>229</v>
      </c>
      <c r="L138" s="81"/>
      <c r="M138" s="171" t="s">
        <v>35</v>
      </c>
      <c r="N138" s="191" t="s">
        <v>25</v>
      </c>
      <c r="O138" s="192" t="s">
        <v>22</v>
      </c>
      <c r="P138" s="193">
        <v>30</v>
      </c>
      <c r="Q138" s="177">
        <f t="shared" si="1"/>
        <v>2430</v>
      </c>
      <c r="R138" s="181">
        <v>81</v>
      </c>
      <c r="S138" s="181">
        <v>81</v>
      </c>
      <c r="T138" s="181">
        <f>S138</f>
        <v>81</v>
      </c>
      <c r="U138" s="181">
        <f>T138</f>
        <v>81</v>
      </c>
      <c r="V138" s="182">
        <f>U138</f>
        <v>81</v>
      </c>
      <c r="W138" s="134">
        <f t="shared" si="3"/>
        <v>81</v>
      </c>
      <c r="X138" s="96">
        <f>IF(D128=0,0,ROUNDUP(IF(IF((167*H10)&lt;F10,F10,(167*H10))&lt;P138,P138,IF((167*H10)&lt;F10,F10,(167*H10))),0))</f>
        <v>0</v>
      </c>
      <c r="Y138" s="85">
        <f>IF(X138&lt;51,X138*R138,IF(X138&lt;101,X138*S138,IF(X138&lt;301,X138*T138,IF(X138&lt;501,X138*U138,X138*V138))))</f>
        <v>0</v>
      </c>
      <c r="Z138" s="85">
        <f>IF(C119=1,ROUND(AC138,0),IF(C119=2,ROUND(AD138,0),ROUND(AE138,0)))</f>
        <v>0</v>
      </c>
      <c r="AA138" s="68">
        <v>12</v>
      </c>
      <c r="AB138" t="s">
        <v>35</v>
      </c>
      <c r="AC138" s="85">
        <f>IF(X138&lt;51,X138*R138,IF(X138&lt;101,X138*S138,IF(X138&lt;301,X138*T138,IF(X138&lt;501,X138*U138,X138*V138))))</f>
        <v>0</v>
      </c>
      <c r="AD138" s="85">
        <f>IF(AT134="МИН",AK134,IF(AT134="по весу",AS134*AL134,AS134*AM134))</f>
        <v>0</v>
      </c>
      <c r="AE138" s="92">
        <v>1</v>
      </c>
      <c r="AF138" s="133">
        <f>IF(C119=2,AT134,IF(C119=1,"",AW134))</f>
      </c>
      <c r="AG138" s="146" t="str">
        <f>IF(C119=2,IF(AT134="по весу",AL134,IF(AT134="мин",AK134,AM134)),IF(AW134="по весу",AP134,IF(AW134="мин",AO134,AQ134)))</f>
        <v>------</v>
      </c>
      <c r="AH138" s="137" t="str">
        <f>IF(C119=2,AJ134,AN134)</f>
        <v>------</v>
      </c>
      <c r="AI138" s="32" t="s">
        <v>44</v>
      </c>
      <c r="AJ138" s="33" t="s">
        <v>130</v>
      </c>
      <c r="AK138" s="36">
        <v>900</v>
      </c>
      <c r="AL138" s="34">
        <v>12.69</v>
      </c>
      <c r="AM138" s="29">
        <v>2470</v>
      </c>
      <c r="AN138" s="33" t="s">
        <v>130</v>
      </c>
      <c r="AO138" s="36">
        <v>600</v>
      </c>
      <c r="AP138" s="37">
        <v>12.3</v>
      </c>
      <c r="AQ138" s="29">
        <v>2249</v>
      </c>
      <c r="AS138" s="85">
        <f>IF(H10=0,F10,IF(F10/H10&lt;200,H10,F10))</f>
        <v>0</v>
      </c>
      <c r="AT138" s="85">
        <f>IF(AS138=0,0,(IF(AS138=H10,IF(AS138*AM138&gt;AK138,"по объёму","МИН"),IF(AS138*AL138&gt;AK138,"по весу","МИН"))))</f>
        <v>0</v>
      </c>
      <c r="AV138" s="85">
        <f>IF(F10*AP138&gt;H10*AQ138,F10,H10)</f>
        <v>0</v>
      </c>
      <c r="AW138" s="93">
        <f>IF(AV138=0,0,IF(AV138=H10,IF(AV138*AQ138&gt;AO138,"по объёму","МИН"),IF(AV138=F10,IF(AV138*AP138&gt;AO138,"по весу","МИН"))))</f>
        <v>0</v>
      </c>
    </row>
    <row r="139" spans="4:50" ht="15" hidden="1">
      <c r="D139">
        <f>CONCATENATE(IF(H119=0,"",CONCATENATE("; автодоставка по г.Москва-",M119)),IF(H119=0,"",IF(H120=0,"","; заезд в офис-750")),IF(H119=0,"",IF(H121=0,"",CONCATENATE("; ПГР г.Москва-",M121))),IF(H119=0,"",IF(H122=0,"",CONCATENATE("; МКАД(+50%)-",M122))),IF(H119=0,"",IF(B120=0,"",IF(G120=0,"",CONCATENATE("; доп. адреса-",G120)))))</f>
      </c>
      <c r="L139" s="71"/>
      <c r="M139" s="211" t="s">
        <v>36</v>
      </c>
      <c r="N139" s="26" t="s">
        <v>37</v>
      </c>
      <c r="O139" s="27" t="s">
        <v>22</v>
      </c>
      <c r="P139" s="27">
        <v>30</v>
      </c>
      <c r="Q139" s="28">
        <f t="shared" si="1"/>
        <v>1260</v>
      </c>
      <c r="R139" s="196">
        <v>42</v>
      </c>
      <c r="S139" s="196">
        <f aca="true" t="shared" si="5" ref="S139:V140">R139</f>
        <v>42</v>
      </c>
      <c r="T139" s="196">
        <f t="shared" si="5"/>
        <v>42</v>
      </c>
      <c r="U139" s="196">
        <f t="shared" si="5"/>
        <v>42</v>
      </c>
      <c r="V139" s="199">
        <f t="shared" si="5"/>
        <v>42</v>
      </c>
      <c r="W139" s="134">
        <f t="shared" si="3"/>
        <v>42</v>
      </c>
      <c r="X139" s="96">
        <f>IF(D128=0,0,ROUNDUP(IF(IF((167*H10)&lt;F10,F10,(167*H10))&lt;P139,P139,IF((167*H10)&lt;F10,F10,(167*H10))),0))</f>
        <v>0</v>
      </c>
      <c r="Z139" s="85">
        <f>IF(C119=1,ROUND(AC139,0),IF(C119=2,ROUND(AD139,0),ROUND(AE139,0)))</f>
        <v>0</v>
      </c>
      <c r="AA139" s="68">
        <v>13</v>
      </c>
      <c r="AB139" t="s">
        <v>36</v>
      </c>
      <c r="AC139" s="85">
        <f>IF(X139&lt;51,X139*R139,IF(X139&lt;101,X139*S139,IF(X139&lt;301,X139*T139,IF(X139&lt;501,X139*U139,X139*V139))))</f>
        <v>0</v>
      </c>
      <c r="AD139" s="92">
        <v>1</v>
      </c>
      <c r="AE139" s="92">
        <v>1</v>
      </c>
      <c r="AI139" s="32" t="s">
        <v>45</v>
      </c>
      <c r="AJ139" s="33" t="s">
        <v>139</v>
      </c>
      <c r="AK139" s="27">
        <v>750</v>
      </c>
      <c r="AL139" s="34">
        <v>11.69</v>
      </c>
      <c r="AM139" s="29">
        <v>2095</v>
      </c>
      <c r="AN139" s="33" t="s">
        <v>128</v>
      </c>
      <c r="AO139" s="35" t="s">
        <v>128</v>
      </c>
      <c r="AP139" s="35" t="s">
        <v>128</v>
      </c>
      <c r="AQ139" s="29" t="s">
        <v>128</v>
      </c>
      <c r="AS139" s="85">
        <f>IF(H10=0,F10,IF(F10/H10&lt;200,H10,F10))</f>
        <v>0</v>
      </c>
      <c r="AT139" s="85">
        <f>IF(AS139=0,0,(IF(AS139=H10,IF(AS139*AM139&gt;AK139,"по объёму","МИН"),IF(AS139*AL139&gt;AK139,"по весу","МИН"))))</f>
        <v>0</v>
      </c>
      <c r="AV139" s="85"/>
      <c r="AW139" s="93"/>
      <c r="AX139" s="85"/>
    </row>
    <row r="140" spans="12:49" ht="15" hidden="1">
      <c r="L140" s="81"/>
      <c r="M140" s="240" t="s">
        <v>38</v>
      </c>
      <c r="N140" s="212" t="s">
        <v>39</v>
      </c>
      <c r="O140" s="27" t="s">
        <v>22</v>
      </c>
      <c r="P140" s="27">
        <v>30</v>
      </c>
      <c r="Q140" s="28">
        <f t="shared" si="1"/>
        <v>2100</v>
      </c>
      <c r="R140" s="196">
        <v>70</v>
      </c>
      <c r="S140" s="196">
        <f t="shared" si="5"/>
        <v>70</v>
      </c>
      <c r="T140" s="196">
        <f t="shared" si="5"/>
        <v>70</v>
      </c>
      <c r="U140" s="196">
        <f t="shared" si="5"/>
        <v>70</v>
      </c>
      <c r="V140" s="199">
        <f t="shared" si="5"/>
        <v>70</v>
      </c>
      <c r="W140" s="134">
        <f t="shared" si="3"/>
        <v>70</v>
      </c>
      <c r="X140" s="96">
        <f>IF(D128=0,0,ROUNDUP(IF(IF((167*H10)&lt;F10,F10,(167*H10))&lt;P140,P140,IF((167*H10)&lt;F10,F10,(167*H10))),0))</f>
        <v>0</v>
      </c>
      <c r="Z140" s="85">
        <f>IF(C119=1,ROUND(AC140,0),IF(C119=2,ROUND(AD140,0),ROUND(AE140,0)))</f>
        <v>0</v>
      </c>
      <c r="AA140" s="68">
        <v>14</v>
      </c>
      <c r="AB140" t="s">
        <v>38</v>
      </c>
      <c r="AC140" s="85">
        <f>IF(X140&lt;51,X140*R140,IF(X140&lt;101,X140*S140,IF(X140&lt;301,X140*T140,IF(X140&lt;501,X140*U140,X140*V140))))</f>
        <v>0</v>
      </c>
      <c r="AD140" s="85">
        <f>IF(AT135="МИН",AK135,IF(AT135="по весу",AS135*AL135,AS135*AM135))</f>
        <v>0</v>
      </c>
      <c r="AE140" s="91">
        <f>IF(AW135="МИН",AO135,IF(AW135="по весу",AV135*AP135,AV135*AQ135))</f>
        <v>0</v>
      </c>
      <c r="AF140" s="133">
        <f>IF(C119=2,AT135,IF(C119=1,"",AW135))</f>
      </c>
      <c r="AG140" s="146">
        <f>IF(C119=2,IF(AT135="по весу",AL135,IF(AT135="мин",AK135,AM135)),IF(AW135="по весу",AP135,IF(AW135="мин",AO135,AQ135)))</f>
        <v>3200</v>
      </c>
      <c r="AH140" s="137" t="str">
        <f>IF(C119=2,AJ135,AN135)</f>
        <v>17-18</v>
      </c>
      <c r="AI140" s="32" t="s">
        <v>141</v>
      </c>
      <c r="AJ140" s="33" t="s">
        <v>142</v>
      </c>
      <c r="AK140" s="36">
        <v>1600</v>
      </c>
      <c r="AL140" s="34">
        <v>24</v>
      </c>
      <c r="AM140" s="29">
        <v>4160</v>
      </c>
      <c r="AN140" s="33" t="s">
        <v>143</v>
      </c>
      <c r="AO140" s="27">
        <v>1600</v>
      </c>
      <c r="AP140" s="37">
        <v>11</v>
      </c>
      <c r="AQ140" s="29">
        <v>2700</v>
      </c>
      <c r="AS140" s="85">
        <f>AS139</f>
        <v>0</v>
      </c>
      <c r="AT140" s="85">
        <f>IF(AS140=0,0,(IF(AS140=H10,IF(AS140*AM140&gt;AK140,"по объёму","МИН"),IF(AS140*AL140&gt;AK140,"по весу","МИН"))))</f>
        <v>0</v>
      </c>
      <c r="AV140" s="85">
        <f>IF(F10*AP140&gt;H10*AQ140,F10,H10)</f>
        <v>0</v>
      </c>
      <c r="AW140" s="93">
        <f>IF(AV140=0,0,IF(AV140=H10,IF(AV140*AQ140&gt;AO140,"по объёму","МИН"),IF(AV140=F10,IF(AV140*AP140&gt;AO140,"по весу","МИН"))))</f>
        <v>0</v>
      </c>
    </row>
    <row r="141" spans="4:49" ht="15" hidden="1">
      <c r="D141" t="s">
        <v>230</v>
      </c>
      <c r="L141" s="81"/>
      <c r="M141" s="240"/>
      <c r="N141" s="170" t="s">
        <v>115</v>
      </c>
      <c r="O141" s="27" t="s">
        <v>28</v>
      </c>
      <c r="P141" s="195">
        <v>30</v>
      </c>
      <c r="Q141" s="28">
        <f t="shared" si="1"/>
        <v>2340</v>
      </c>
      <c r="R141" s="196">
        <v>78</v>
      </c>
      <c r="S141" s="196">
        <f>R141</f>
        <v>78</v>
      </c>
      <c r="T141" s="196">
        <f>S141</f>
        <v>78</v>
      </c>
      <c r="U141" s="196">
        <f>T141</f>
        <v>78</v>
      </c>
      <c r="V141" s="199">
        <f>U141</f>
        <v>78</v>
      </c>
      <c r="W141" s="134">
        <f t="shared" si="3"/>
        <v>78</v>
      </c>
      <c r="X141" s="96">
        <f>IF(D128=0,0,ROUNDUP(IF(IF((167*H10)&lt;F10,F10,(167*H10))&lt;P141,P141,IF((167*H10)&lt;F10,F10,(167*H10))),0))</f>
        <v>0</v>
      </c>
      <c r="Y141" s="85">
        <f>IF(X141&lt;51,X141*R141,IF(X141&lt;101,X141*S141,IF(X141&lt;301,X141*T141,IF(X141&lt;501,X141*U141,X141*V141))))</f>
        <v>0</v>
      </c>
      <c r="Z141" s="85">
        <f>IF(C119=1,ROUND(AC141,0),IF(C119=2,ROUND(AD141,0),ROUND(AE141,0)))</f>
        <v>0</v>
      </c>
      <c r="AA141" s="68">
        <v>15</v>
      </c>
      <c r="AB141" t="s">
        <v>40</v>
      </c>
      <c r="AC141" s="85">
        <f aca="true" t="shared" si="6" ref="AC141:AC147">IF(X142&lt;51,X142*R142,IF(X142&lt;101,X142*S142,IF(X142&lt;301,X142*T142,IF(X142&lt;501,X142*U142,X142*V142))))</f>
        <v>0</v>
      </c>
      <c r="AD141" s="92">
        <v>1</v>
      </c>
      <c r="AE141" s="92">
        <v>1</v>
      </c>
      <c r="AI141" s="32" t="s">
        <v>48</v>
      </c>
      <c r="AJ141" s="33" t="s">
        <v>139</v>
      </c>
      <c r="AK141" s="36">
        <v>600</v>
      </c>
      <c r="AL141" s="34">
        <v>10.1</v>
      </c>
      <c r="AM141" s="29">
        <v>1560</v>
      </c>
      <c r="AN141" s="33" t="s">
        <v>139</v>
      </c>
      <c r="AO141" s="36">
        <v>600</v>
      </c>
      <c r="AP141" s="34">
        <v>10.1</v>
      </c>
      <c r="AQ141" s="29">
        <v>1560</v>
      </c>
      <c r="AS141" s="85">
        <f aca="true" t="shared" si="7" ref="AS141:AS184">AS140</f>
        <v>0</v>
      </c>
      <c r="AT141" s="85">
        <f>IF(AS141=0,0,(IF(AS141=H10,IF(AS141*AM141&gt;AK141,"по объёму","МИН"),IF(AS141*AL141&gt;AK141,"по весу","МИН"))))</f>
        <v>0</v>
      </c>
      <c r="AV141" s="85">
        <f>IF(F10*AP141&gt;H10*AQ141,F10,H10)</f>
        <v>0</v>
      </c>
      <c r="AW141" s="93">
        <f>IF(AV141=0,0,IF(AV141=H10,IF(AV141*AQ141&gt;AO141,"по объёму","МИН"),IF(AV141=F10,IF(AV141*AP141&gt;AO141,"по весу","МИН"))))</f>
        <v>0</v>
      </c>
    </row>
    <row r="142" spans="4:49" ht="15" hidden="1">
      <c r="D142">
        <f>IF(X122="Иркутск",CONCATENATE("; груз. обработка г.Иркутск-",ROUND(IF(C119=1,ROUND(F10,0),IF(F10*1&gt;H10*100,F10,H10*100)),0)," (ДОСТАВКА по г. Иркутск-БЕСПЛАТНО!)"),"")</f>
      </c>
      <c r="L142" s="71"/>
      <c r="M142" s="171" t="s">
        <v>40</v>
      </c>
      <c r="N142" s="180" t="s">
        <v>25</v>
      </c>
      <c r="O142" s="178" t="s">
        <v>22</v>
      </c>
      <c r="P142" s="178">
        <v>20</v>
      </c>
      <c r="Q142" s="177">
        <f t="shared" si="1"/>
        <v>880</v>
      </c>
      <c r="R142" s="178">
        <v>44</v>
      </c>
      <c r="S142" s="178">
        <v>43</v>
      </c>
      <c r="T142" s="178">
        <v>42</v>
      </c>
      <c r="U142" s="178">
        <v>42</v>
      </c>
      <c r="V142" s="183">
        <v>42</v>
      </c>
      <c r="W142" s="134">
        <f t="shared" si="3"/>
        <v>44</v>
      </c>
      <c r="X142" s="96">
        <f>IF(D128=0,0,ROUNDUP(IF(IF((167*H10)&lt;F10,F10,(167*H10))&lt;P142,P142,IF((167*H10)&lt;F10,F10,(167*H10))),0))</f>
        <v>0</v>
      </c>
      <c r="Z142" s="85">
        <f>IF(C119=1,ROUND(AC142,0),IF(C119=2,ROUND(AD142,0),ROUND(AE142,0)))</f>
        <v>0</v>
      </c>
      <c r="AA142" s="68">
        <v>16</v>
      </c>
      <c r="AB142" t="s">
        <v>41</v>
      </c>
      <c r="AC142" s="85">
        <f t="shared" si="6"/>
        <v>0</v>
      </c>
      <c r="AD142" s="85">
        <f aca="true" t="shared" si="8" ref="AD142:AD147">IF(AT136="МИН",AK136,IF(AT136="по весу",AS136*AL136,AS136*AM136))</f>
        <v>0</v>
      </c>
      <c r="AE142" s="92">
        <v>1</v>
      </c>
      <c r="AF142" s="133">
        <f>IF(C119=2,AT136,IF(C119=1,"",AW136))</f>
      </c>
      <c r="AG142" s="146">
        <f>IF(C119=2,IF(AT136="по весу",AL136,IF(AT136="мин",AK136,AM136)),IF(AW136="по весу",AP136,IF(AW136="мин",AO136,AQ136)))</f>
        <v>1548</v>
      </c>
      <c r="AH142" s="137" t="str">
        <f>IF(C119=2,AJ136,AN136)</f>
        <v>2-3</v>
      </c>
      <c r="AI142" s="32" t="s">
        <v>242</v>
      </c>
      <c r="AJ142" s="33" t="s">
        <v>144</v>
      </c>
      <c r="AK142" s="27">
        <v>1000</v>
      </c>
      <c r="AL142" s="34">
        <v>15.01</v>
      </c>
      <c r="AM142" s="29">
        <v>3129</v>
      </c>
      <c r="AN142" s="33" t="s">
        <v>133</v>
      </c>
      <c r="AO142" s="36">
        <v>2410</v>
      </c>
      <c r="AP142" s="37">
        <v>8.4</v>
      </c>
      <c r="AQ142" s="29">
        <v>2460</v>
      </c>
      <c r="AS142" s="85">
        <f t="shared" si="7"/>
        <v>0</v>
      </c>
      <c r="AT142" s="85">
        <f>IF(AS142=0,0,(IF(AS142=H10,IF(AS142*AM142&gt;AK142,"по объёму","МИН"),IF(AS142*AL142&gt;AK142,"по весу","МИН"))))</f>
        <v>0</v>
      </c>
      <c r="AV142" s="85">
        <f>IF(F10*AP142&gt;H10*AQ142,F10,H10)</f>
        <v>0</v>
      </c>
      <c r="AW142" s="93">
        <f>IF(AV142=0,0,IF(AV142=H10,IF(AV142*AQ142&gt;AO142,"по объёму","МИН"),IF(AV142=F10,IF(AV142*AP142&gt;AO142,"по весу","МИН"))))</f>
        <v>0</v>
      </c>
    </row>
    <row r="143" spans="13:50" ht="15" hidden="1">
      <c r="M143" s="171" t="s">
        <v>41</v>
      </c>
      <c r="N143" s="180" t="s">
        <v>25</v>
      </c>
      <c r="O143" s="178" t="s">
        <v>22</v>
      </c>
      <c r="P143" s="178">
        <v>20</v>
      </c>
      <c r="Q143" s="177">
        <f t="shared" si="1"/>
        <v>840</v>
      </c>
      <c r="R143" s="178">
        <v>42</v>
      </c>
      <c r="S143" s="178">
        <v>42</v>
      </c>
      <c r="T143" s="178">
        <v>40</v>
      </c>
      <c r="U143" s="178">
        <v>40</v>
      </c>
      <c r="V143" s="183">
        <v>40</v>
      </c>
      <c r="W143" s="134">
        <f t="shared" si="3"/>
        <v>42</v>
      </c>
      <c r="X143" s="96">
        <f>IF(D128=0,0,ROUNDUP(IF(IF((167*H10)&lt;F10,F10,(167*H10))&lt;P143,P143,IF((167*H10)&lt;F10,F10,(167*H10))),0))</f>
        <v>0</v>
      </c>
      <c r="Z143" s="85">
        <f>IF(C119=1,ROUND(AC143,0),IF(C119=2,ROUND(AD143,0),ROUND(AE143,0)))</f>
        <v>0</v>
      </c>
      <c r="AA143" s="68">
        <v>17</v>
      </c>
      <c r="AB143" t="s">
        <v>42</v>
      </c>
      <c r="AC143" s="85">
        <f t="shared" si="6"/>
        <v>0</v>
      </c>
      <c r="AD143" s="85">
        <f t="shared" si="8"/>
        <v>0</v>
      </c>
      <c r="AE143" s="92">
        <v>1</v>
      </c>
      <c r="AF143" s="133">
        <f>IF(C119=2,AT137,IF(C119=1,"",AW137))</f>
      </c>
      <c r="AG143" s="146" t="str">
        <f>IF(C119=2,IF(AT137="по весу",AL137,IF(AT137="мин",AK137,AM137)),IF(AW137="по весу",AP137,IF(AW137="мин",AO137,AQ137)))</f>
        <v>------</v>
      </c>
      <c r="AH143" s="137" t="str">
        <f>IF(C119=2,AJ137,AN137)</f>
        <v>------</v>
      </c>
      <c r="AI143" s="32" t="s">
        <v>145</v>
      </c>
      <c r="AJ143" s="33" t="s">
        <v>130</v>
      </c>
      <c r="AK143" s="27">
        <v>750</v>
      </c>
      <c r="AL143" s="34">
        <v>11.08</v>
      </c>
      <c r="AM143" s="29">
        <v>1926</v>
      </c>
      <c r="AN143" s="33" t="s">
        <v>128</v>
      </c>
      <c r="AO143" s="35" t="s">
        <v>128</v>
      </c>
      <c r="AP143" s="35" t="s">
        <v>128</v>
      </c>
      <c r="AQ143" s="29" t="s">
        <v>128</v>
      </c>
      <c r="AS143" s="85">
        <f t="shared" si="7"/>
        <v>0</v>
      </c>
      <c r="AT143" s="85">
        <f>IF(AS143=0,0,(IF(AS143=H10,IF(AS143*AM143&gt;AK143,"по объёму","МИН"),IF(AS143*AL143&gt;AK143,"по весу","МИН"))))</f>
        <v>0</v>
      </c>
      <c r="AV143" s="85"/>
      <c r="AW143" s="93"/>
      <c r="AX143" s="85"/>
    </row>
    <row r="144" spans="4:50" ht="15" hidden="1">
      <c r="D144" t="s">
        <v>232</v>
      </c>
      <c r="M144" s="211" t="s">
        <v>42</v>
      </c>
      <c r="N144" s="170" t="s">
        <v>43</v>
      </c>
      <c r="O144" s="27" t="s">
        <v>22</v>
      </c>
      <c r="P144" s="27">
        <v>30</v>
      </c>
      <c r="Q144" s="28">
        <f t="shared" si="1"/>
        <v>1560</v>
      </c>
      <c r="R144" s="196">
        <v>52</v>
      </c>
      <c r="S144" s="196">
        <f>R144</f>
        <v>52</v>
      </c>
      <c r="T144" s="196">
        <f>S144</f>
        <v>52</v>
      </c>
      <c r="U144" s="196">
        <f>T144</f>
        <v>52</v>
      </c>
      <c r="V144" s="199">
        <f>U144</f>
        <v>52</v>
      </c>
      <c r="W144" s="134">
        <f t="shared" si="3"/>
        <v>52</v>
      </c>
      <c r="X144" s="96">
        <f>IF(D128=0,0,ROUNDUP(IF(IF((167*H10)&lt;F10,F10,(167*H10))&lt;P144,P144,IF((167*H10)&lt;F10,F10,(167*H10))),0))</f>
        <v>0</v>
      </c>
      <c r="Z144" s="85">
        <f>IF(C119=1,ROUND(AC144,0),IF(C119=2,ROUND(AD144,0),ROUND(AE144,0)))</f>
        <v>0</v>
      </c>
      <c r="AA144" s="68">
        <v>18</v>
      </c>
      <c r="AB144" t="s">
        <v>44</v>
      </c>
      <c r="AC144" s="85">
        <f t="shared" si="6"/>
        <v>0</v>
      </c>
      <c r="AD144" s="85">
        <f t="shared" si="8"/>
        <v>0</v>
      </c>
      <c r="AE144" s="91">
        <f>IF(AW138="МИН",AO138,IF(AW138="по весу",AV138*AP138,AV138*AQ138))</f>
        <v>0</v>
      </c>
      <c r="AF144" s="133">
        <f>IF(C119=2,AT138,IF(C119=1,"",AW138))</f>
      </c>
      <c r="AG144" s="146">
        <f>IF(C119=2,IF(AT138="по весу",AL138,IF(AT138="мин",AK138,AM138)),IF(AW138="по весу",AP138,IF(AW138="мин",AO138,AQ138)))</f>
        <v>2249</v>
      </c>
      <c r="AH144" s="137" t="str">
        <f>IF(C119=2,AJ138,AN138)</f>
        <v>3-4</v>
      </c>
      <c r="AI144" s="32" t="s">
        <v>146</v>
      </c>
      <c r="AJ144" s="33" t="s">
        <v>257</v>
      </c>
      <c r="AK144" s="27">
        <v>1800</v>
      </c>
      <c r="AL144" s="34">
        <v>29.57</v>
      </c>
      <c r="AM144" s="29">
        <v>5444</v>
      </c>
      <c r="AN144" s="33" t="s">
        <v>128</v>
      </c>
      <c r="AO144" s="35" t="s">
        <v>128</v>
      </c>
      <c r="AP144" s="35" t="s">
        <v>128</v>
      </c>
      <c r="AQ144" s="29" t="s">
        <v>128</v>
      </c>
      <c r="AS144" s="85">
        <f t="shared" si="7"/>
        <v>0</v>
      </c>
      <c r="AT144" s="85">
        <f>IF(AS144=0,0,(IF(AS144=H10,IF(AS144*AM144&gt;AK144,"по объёму","МИН"),IF(AS144*AL144&gt;AK144,"по весу","МИН"))))</f>
        <v>0</v>
      </c>
      <c r="AV144" s="85"/>
      <c r="AW144" s="93"/>
      <c r="AX144" s="85"/>
    </row>
    <row r="145" spans="4:49" ht="15" hidden="1">
      <c r="D145" s="164" t="e">
        <f>CONCATENATE("Расчёт стоимости ",,"&lt; ",X107," &gt;","       Тариф ",IF(X107="по весу",X110,ROUND(X110,0)),IF(X107="мин","р.",IF(X107="по весу","р./кг","р./куб")),"  (срок доставки ",X104,"дн.)")</f>
        <v>#VALUE!</v>
      </c>
      <c r="M145" s="171" t="s">
        <v>44</v>
      </c>
      <c r="N145" s="180" t="s">
        <v>25</v>
      </c>
      <c r="O145" s="178" t="s">
        <v>22</v>
      </c>
      <c r="P145" s="178">
        <v>20</v>
      </c>
      <c r="Q145" s="177">
        <f t="shared" si="1"/>
        <v>900</v>
      </c>
      <c r="R145" s="198">
        <v>45</v>
      </c>
      <c r="S145" s="198">
        <v>45</v>
      </c>
      <c r="T145" s="198">
        <v>44</v>
      </c>
      <c r="U145" s="198">
        <v>44</v>
      </c>
      <c r="V145" s="194">
        <v>44</v>
      </c>
      <c r="W145" s="134">
        <f t="shared" si="3"/>
        <v>45</v>
      </c>
      <c r="X145" s="96">
        <f>IF(D128=0,0,ROUNDUP(IF(IF((167*H10)&lt;F10,F10,(167*H10))&lt;P145,P145,IF((167*H10)&lt;F10,F10,(167*H10))),0))</f>
        <v>0</v>
      </c>
      <c r="Z145" s="85">
        <f>IF(C119=1,ROUND(AC145,0),IF(C119=2,ROUND(AD145,0),ROUND(AE145,0)))</f>
        <v>0</v>
      </c>
      <c r="AA145" s="68">
        <v>19</v>
      </c>
      <c r="AB145" t="s">
        <v>45</v>
      </c>
      <c r="AC145" s="85">
        <f t="shared" si="6"/>
        <v>0</v>
      </c>
      <c r="AD145" s="85">
        <f t="shared" si="8"/>
        <v>0</v>
      </c>
      <c r="AE145" s="92">
        <v>1</v>
      </c>
      <c r="AF145" s="133">
        <f>IF(C119=2,AT139,IF(C119=1,"",AW139))</f>
      </c>
      <c r="AG145" s="146" t="str">
        <f>IF(C119=2,IF(AT139="по весу",AL139,IF(AT139="мин",AK139,AM139)),IF(AW139="по весу",AP139,IF(AW139="мин",AO139,AQ139)))</f>
        <v>------</v>
      </c>
      <c r="AH145" s="137" t="str">
        <f>IF(C119=2,AJ139,AN139)</f>
        <v>------</v>
      </c>
      <c r="AI145" s="32" t="s">
        <v>54</v>
      </c>
      <c r="AJ145" s="38">
        <v>3</v>
      </c>
      <c r="AK145" s="36">
        <v>600</v>
      </c>
      <c r="AL145" s="34">
        <v>10</v>
      </c>
      <c r="AM145" s="29">
        <v>1638</v>
      </c>
      <c r="AN145" s="33" t="s">
        <v>147</v>
      </c>
      <c r="AO145" s="36">
        <v>600</v>
      </c>
      <c r="AP145" s="34">
        <v>10</v>
      </c>
      <c r="AQ145" s="29">
        <v>1638</v>
      </c>
      <c r="AS145" s="85">
        <f t="shared" si="7"/>
        <v>0</v>
      </c>
      <c r="AT145" s="85">
        <f>IF(AS145=0,0,(IF(AS145=H10,IF(AS145*AM145&gt;AK145,"по объёму","МИН"),IF(AS145*AL145&gt;AK145,"по весу","МИН"))))</f>
        <v>0</v>
      </c>
      <c r="AV145" s="85">
        <f>IF(F10*AP145&gt;H10*AQ145,F10,H10)</f>
        <v>0</v>
      </c>
      <c r="AW145" s="93">
        <f>IF(AV145=0,0,IF(AV145=H10,IF(AV145*AQ145&gt;AO145,"по объёму","МИН"),IF(AV145=F10,IF(AV145*AP145&gt;AO145,"по весу","МИН"))))</f>
        <v>0</v>
      </c>
    </row>
    <row r="146" spans="13:49" ht="15" hidden="1">
      <c r="M146" s="200" t="s">
        <v>45</v>
      </c>
      <c r="N146" s="170" t="s">
        <v>46</v>
      </c>
      <c r="O146" s="27" t="s">
        <v>22</v>
      </c>
      <c r="P146" s="27">
        <v>20</v>
      </c>
      <c r="Q146" s="28">
        <f t="shared" si="1"/>
        <v>1240</v>
      </c>
      <c r="R146" s="198">
        <v>62</v>
      </c>
      <c r="S146" s="198">
        <v>61</v>
      </c>
      <c r="T146" s="198">
        <v>61</v>
      </c>
      <c r="U146" s="198">
        <v>61</v>
      </c>
      <c r="V146" s="194">
        <v>60</v>
      </c>
      <c r="W146" s="134">
        <f t="shared" si="3"/>
        <v>62</v>
      </c>
      <c r="X146" s="96">
        <f>IF(D128=0,0,ROUNDUP(IF(IF((167*H10)&lt;F10,F10,(167*H10))&lt;P146,P146,IF((167*H10)&lt;F10,F10,(167*H10))),0))</f>
        <v>0</v>
      </c>
      <c r="Z146" s="85">
        <f>IF(C119=1,ROUND(AC146,0),IF(C119=2,ROUND(AD146,0),ROUND(AE146,0)))</f>
        <v>0</v>
      </c>
      <c r="AA146" s="68">
        <v>20</v>
      </c>
      <c r="AB146" t="s">
        <v>47</v>
      </c>
      <c r="AC146" s="85">
        <f t="shared" si="6"/>
        <v>0</v>
      </c>
      <c r="AD146" s="85">
        <f t="shared" si="8"/>
        <v>0</v>
      </c>
      <c r="AE146" s="91">
        <f>IF(AW140="МИН",AO140,IF(AW140="по весу",AV140*AP140,AV140*AQ140))</f>
        <v>0</v>
      </c>
      <c r="AF146" s="133">
        <f>IF(C119=2,AT140,IF(C119=1,"",AW140))</f>
      </c>
      <c r="AG146" s="146">
        <f>IF(C119=2,IF(AT140="по весу",AL140,IF(AT140="мин",AK140,AM140)),IF(AW140="по весу",AP140,IF(AW140="мин",AO140,AQ140)))</f>
        <v>2700</v>
      </c>
      <c r="AH146" s="137" t="str">
        <f>IF(C119=2,AJ140,AN140)</f>
        <v>11-13</v>
      </c>
      <c r="AI146" s="32" t="s">
        <v>148</v>
      </c>
      <c r="AJ146" s="33" t="s">
        <v>144</v>
      </c>
      <c r="AK146" s="27">
        <v>1000</v>
      </c>
      <c r="AL146" s="34">
        <v>15.23</v>
      </c>
      <c r="AM146" s="29">
        <v>3232</v>
      </c>
      <c r="AN146" s="33" t="s">
        <v>137</v>
      </c>
      <c r="AO146" s="27">
        <v>800</v>
      </c>
      <c r="AP146" s="37">
        <v>8.8</v>
      </c>
      <c r="AQ146" s="29">
        <v>2340</v>
      </c>
      <c r="AS146" s="85">
        <f t="shared" si="7"/>
        <v>0</v>
      </c>
      <c r="AT146" s="85">
        <f>IF(AS146=0,0,(IF(AS146=H10,IF(AS146*AM146&gt;AK146,"по объёму","МИН"),IF(AS146*AL146&gt;AK146,"по весу","МИН"))))</f>
        <v>0</v>
      </c>
      <c r="AV146" s="85">
        <f>IF(F10*AP146&gt;H10*AQ146,F10,H10)</f>
        <v>0</v>
      </c>
      <c r="AW146" s="93">
        <f>IF(AV146=0,0,IF(AV146=H10,IF(AV146*AQ146&gt;AO146,"по объёму","МИН"),IF(AV146=F10,IF(AV146*AP146&gt;AO146,"по весу","МИН"))))</f>
        <v>0</v>
      </c>
    </row>
    <row r="147" spans="4:50" ht="15" hidden="1">
      <c r="D147" t="s">
        <v>234</v>
      </c>
      <c r="M147" s="172" t="s">
        <v>47</v>
      </c>
      <c r="N147" s="180" t="s">
        <v>268</v>
      </c>
      <c r="O147" s="178" t="s">
        <v>22</v>
      </c>
      <c r="P147" s="178">
        <v>30</v>
      </c>
      <c r="Q147" s="177">
        <f t="shared" si="1"/>
        <v>2430</v>
      </c>
      <c r="R147" s="178">
        <v>81</v>
      </c>
      <c r="S147" s="178">
        <v>81</v>
      </c>
      <c r="T147" s="178">
        <v>81</v>
      </c>
      <c r="U147" s="178">
        <v>79</v>
      </c>
      <c r="V147" s="183">
        <v>79</v>
      </c>
      <c r="W147" s="134">
        <f t="shared" si="3"/>
        <v>81</v>
      </c>
      <c r="X147" s="96">
        <f>IF(D128=0,0,ROUNDUP(IF(IF((167*H10)&lt;F10,F10,(167*H10))&lt;P147,P147,IF((167*H10)&lt;F10,F10,(167*H10))),0))</f>
        <v>0</v>
      </c>
      <c r="Z147" s="85">
        <f>IF(C119=1,ROUND(AC147,0),IF(C119=2,ROUND(AD147,0),ROUND(AE147,0)))</f>
        <v>0</v>
      </c>
      <c r="AA147" s="68">
        <v>21</v>
      </c>
      <c r="AB147" t="s">
        <v>48</v>
      </c>
      <c r="AC147" s="85">
        <f t="shared" si="6"/>
        <v>0</v>
      </c>
      <c r="AD147" s="85">
        <f t="shared" si="8"/>
        <v>0</v>
      </c>
      <c r="AE147" s="91">
        <f>IF(AW141="МИН",AO141,IF(AW141="по весу",AV141*AP141,AV141*AQ141))</f>
        <v>0</v>
      </c>
      <c r="AF147" s="133">
        <f>IF(C119=2,AT141,IF(C119=1,"",AW141))</f>
      </c>
      <c r="AG147" s="146">
        <f>IF(C119=2,IF(AT141="по весу",AL141,IF(AT141="мин",AK141,AM141)),IF(AW141="по весу",AP141,IF(AW141="мин",AO141,AQ141)))</f>
        <v>1560</v>
      </c>
      <c r="AH147" s="137" t="str">
        <f>IF(C119=2,AJ141,AN141)</f>
        <v>2-3</v>
      </c>
      <c r="AI147" s="32" t="s">
        <v>56</v>
      </c>
      <c r="AJ147" s="33" t="s">
        <v>149</v>
      </c>
      <c r="AK147" s="27">
        <v>900</v>
      </c>
      <c r="AL147" s="34">
        <v>13.69</v>
      </c>
      <c r="AM147" s="29">
        <v>2748</v>
      </c>
      <c r="AN147" s="33" t="s">
        <v>128</v>
      </c>
      <c r="AO147" s="35" t="s">
        <v>128</v>
      </c>
      <c r="AP147" s="35" t="s">
        <v>128</v>
      </c>
      <c r="AQ147" s="29" t="s">
        <v>128</v>
      </c>
      <c r="AS147" s="85">
        <f t="shared" si="7"/>
        <v>0</v>
      </c>
      <c r="AT147" s="85">
        <f>IF(AS147=0,0,(IF(AS147=H10,IF(AS147*AM147&gt;AK147,"по объёму","МИН"),IF(AS147*AL147&gt;AK147,"по весу","МИН"))))</f>
        <v>0</v>
      </c>
      <c r="AV147" s="85"/>
      <c r="AW147" s="93"/>
      <c r="AX147" s="85"/>
    </row>
    <row r="148" spans="4:50" ht="15" hidden="1">
      <c r="D148" t="str">
        <f>CONCATENATE("ж/д перевозка-",X125,IF(AB116=0,"",CONCATENATE("; негабарит-",AB116)),IF(E13=0,"",CONCATENATE("; страховка-",E13*0.007)),IF(G117=0,"",IF(C117=2,CONCATENATE("; упаковка-",G117),IF(C117=4,CONCATENATE("; обрешётка-",G117,"; перевозка обрешётки-",X125*0.35),""))),IF(H117=0,"",CONCATENATE("; перевозка в тепле-",M117)),IF(H118=0,"",CONCATENATE("; мягкая мебель-",M118)),D139,D142)</f>
        <v>ж/д перевозка-0</v>
      </c>
      <c r="M148" s="240" t="s">
        <v>48</v>
      </c>
      <c r="N148" s="180" t="s">
        <v>25</v>
      </c>
      <c r="O148" s="178" t="s">
        <v>22</v>
      </c>
      <c r="P148" s="178">
        <v>20</v>
      </c>
      <c r="Q148" s="177">
        <f t="shared" si="1"/>
        <v>860</v>
      </c>
      <c r="R148" s="198">
        <v>43</v>
      </c>
      <c r="S148" s="198">
        <v>43</v>
      </c>
      <c r="T148" s="198">
        <v>42</v>
      </c>
      <c r="U148" s="198">
        <v>42</v>
      </c>
      <c r="V148" s="194">
        <v>42</v>
      </c>
      <c r="W148" s="134">
        <f t="shared" si="3"/>
        <v>43</v>
      </c>
      <c r="X148" s="96">
        <f>IF(D128=0,0,ROUNDUP(IF(IF((167*H10)&lt;F10,F10,(167*H10))&lt;P148,P148,IF((167*H10)&lt;F10,F10,(167*H10))),0))</f>
        <v>0</v>
      </c>
      <c r="Z148" s="85">
        <f>IF(C119=1,ROUND(AC148,0),IF(C119=2,ROUND(AD148,0),ROUND(AE148,0)))</f>
        <v>0</v>
      </c>
      <c r="AA148" s="68">
        <v>22</v>
      </c>
      <c r="AB148" t="s">
        <v>185</v>
      </c>
      <c r="AC148" s="85">
        <f>IF(X150&lt;51,X150*R150,IF(X150&lt;101,X150*S150,IF(X150&lt;301,X150*T150,IF(X150&lt;501,X150*U150,X150*V150))))</f>
        <v>0</v>
      </c>
      <c r="AD148" s="92">
        <v>1</v>
      </c>
      <c r="AE148" s="92">
        <v>1</v>
      </c>
      <c r="AI148" s="32" t="s">
        <v>60</v>
      </c>
      <c r="AJ148" s="33" t="s">
        <v>144</v>
      </c>
      <c r="AK148" s="27">
        <v>900</v>
      </c>
      <c r="AL148" s="34">
        <v>14.95</v>
      </c>
      <c r="AM148" s="29">
        <v>3063</v>
      </c>
      <c r="AN148" s="33" t="s">
        <v>128</v>
      </c>
      <c r="AO148" s="35" t="s">
        <v>128</v>
      </c>
      <c r="AP148" s="35" t="s">
        <v>128</v>
      </c>
      <c r="AQ148" s="29" t="s">
        <v>128</v>
      </c>
      <c r="AS148" s="85">
        <f t="shared" si="7"/>
        <v>0</v>
      </c>
      <c r="AT148" s="85">
        <f>IF(AS148=0,0,(IF(AS148=H10,IF(AS148*AM148&gt;AK148,"по объёму","МИН"),IF(AS148*AL148&gt;AK148,"по весу","МИН"))))</f>
        <v>0</v>
      </c>
      <c r="AV148" s="85"/>
      <c r="AW148" s="93"/>
      <c r="AX148" s="85"/>
    </row>
    <row r="149" spans="13:50" ht="15" hidden="1">
      <c r="M149" s="240"/>
      <c r="N149" s="212" t="s">
        <v>270</v>
      </c>
      <c r="O149" s="27" t="s">
        <v>22</v>
      </c>
      <c r="P149" s="27">
        <v>30</v>
      </c>
      <c r="Q149" s="28">
        <f t="shared" si="1"/>
        <v>1200</v>
      </c>
      <c r="R149" s="198">
        <v>40</v>
      </c>
      <c r="S149" s="198">
        <v>40</v>
      </c>
      <c r="T149" s="198">
        <v>38</v>
      </c>
      <c r="U149" s="198">
        <v>38</v>
      </c>
      <c r="V149" s="194">
        <v>38</v>
      </c>
      <c r="W149" s="134">
        <f t="shared" si="3"/>
        <v>40</v>
      </c>
      <c r="X149" s="96">
        <f>IF(D128=0,0,ROUNDUP(IF(IF((167*H10)&lt;F10,F10,(167*H10))&lt;P149,P149,IF((167*H10)&lt;F10,F10,(167*H10))),0))</f>
        <v>0</v>
      </c>
      <c r="Y149" s="85">
        <f>IF(X149&lt;51,X149*R149,IF(X149&lt;101,X149*S149,IF(X149&lt;301,X149*T149,IF(X149&lt;501,X149*U149,X149*V149))))</f>
        <v>0</v>
      </c>
      <c r="Z149" s="85">
        <f>IF(C119=1,ROUND(AC149,0),IF(C119=2,ROUND(AD149,0),ROUND(AE149,0)))</f>
        <v>0</v>
      </c>
      <c r="AA149" s="68">
        <v>23</v>
      </c>
      <c r="AB149" t="s">
        <v>50</v>
      </c>
      <c r="AC149" s="85">
        <f>IF(X151&lt;51,X151*R151,IF(X151&lt;101,X151*S151,IF(X151&lt;301,X151*T151,IF(X151&lt;501,X151*U151,X151*V151))))</f>
        <v>0</v>
      </c>
      <c r="AD149" s="85">
        <f>IF(AT142="МИН",AK142,IF(AT142="по весу",AS142*AL142,AS142*AM142))</f>
        <v>0</v>
      </c>
      <c r="AE149" s="91">
        <f>IF(AW142="МИН",AO142,IF(AW142="по весу",AV142*AP142,AV142*AQ142))</f>
        <v>0</v>
      </c>
      <c r="AF149" s="133">
        <f>IF(C119=2,AT142,IF(C119=1,"",AW142))</f>
      </c>
      <c r="AG149" s="146">
        <f>IF(C119=2,IF(AT142="по весу",AL142,IF(AT142="мин",AK142,AM142)),IF(AW142="по весу",AP142,IF(AW142="мин",AO142,AQ142)))</f>
        <v>2460</v>
      </c>
      <c r="AH149" s="137" t="str">
        <f>IF(C119=2,AJ142,AN142)</f>
        <v>11-12</v>
      </c>
      <c r="AI149" s="32" t="s">
        <v>66</v>
      </c>
      <c r="AJ149" s="33" t="s">
        <v>258</v>
      </c>
      <c r="AK149" s="27">
        <v>750</v>
      </c>
      <c r="AL149" s="34">
        <v>11.57</v>
      </c>
      <c r="AM149" s="29">
        <v>2062</v>
      </c>
      <c r="AN149" s="33" t="s">
        <v>128</v>
      </c>
      <c r="AO149" s="35" t="s">
        <v>128</v>
      </c>
      <c r="AP149" s="35" t="s">
        <v>128</v>
      </c>
      <c r="AQ149" s="29" t="s">
        <v>128</v>
      </c>
      <c r="AS149" s="85">
        <f t="shared" si="7"/>
        <v>0</v>
      </c>
      <c r="AT149" s="85">
        <f>IF(AS149=0,0,(IF(AS149=H10,IF(AS149*AM149&gt;AK149,"по объёму","МИН"),IF(AS149*AL149&gt;AK149,"по весу","МИН"))))</f>
        <v>0</v>
      </c>
      <c r="AV149" s="85"/>
      <c r="AW149" s="93"/>
      <c r="AX149" s="85"/>
    </row>
    <row r="150" spans="13:50" ht="15" hidden="1">
      <c r="M150" s="171" t="s">
        <v>49</v>
      </c>
      <c r="N150" s="180" t="s">
        <v>25</v>
      </c>
      <c r="O150" s="178" t="s">
        <v>22</v>
      </c>
      <c r="P150" s="178">
        <v>20</v>
      </c>
      <c r="Q150" s="177">
        <f t="shared" si="1"/>
        <v>920</v>
      </c>
      <c r="R150" s="184">
        <v>46</v>
      </c>
      <c r="S150" s="181">
        <f>R150</f>
        <v>46</v>
      </c>
      <c r="T150" s="181">
        <f>S150</f>
        <v>46</v>
      </c>
      <c r="U150" s="181">
        <f>T150</f>
        <v>46</v>
      </c>
      <c r="V150" s="181">
        <f>U150</f>
        <v>46</v>
      </c>
      <c r="W150" s="134">
        <f t="shared" si="3"/>
        <v>46</v>
      </c>
      <c r="X150" s="96">
        <f>IF(D128=0,0,ROUNDUP(IF(IF((167*H10)&lt;F10,F10,(167*H10))&lt;P150,P150,IF((167*H10)&lt;F10,F10,(167*H10))),0))</f>
        <v>0</v>
      </c>
      <c r="Z150" s="85">
        <f>IF(C119=1,ROUND(AC150,0),IF(C119=2,ROUND(AD150,0),ROUND(AE150,0)))</f>
        <v>1</v>
      </c>
      <c r="AA150" s="68">
        <v>24</v>
      </c>
      <c r="AB150" t="s">
        <v>145</v>
      </c>
      <c r="AC150" s="92">
        <v>1</v>
      </c>
      <c r="AD150" s="85">
        <f>IF(AT143="МИН",AK143,IF(AT143="по весу",AS143*AL143,AS143*AM143))</f>
        <v>0</v>
      </c>
      <c r="AE150" s="92">
        <v>1</v>
      </c>
      <c r="AF150" s="133">
        <f>IF(C119=2,AT143,IF(C119=1,"",AW143))</f>
      </c>
      <c r="AG150" s="146" t="str">
        <f>IF(C119=2,IF(AT143="по весу",AL143,IF(AT143="мин",AK143,AM143)),IF(AW143="по весу",AP143,IF(AW143="мин",AO143,AQ143)))</f>
        <v>------</v>
      </c>
      <c r="AH150" s="137" t="str">
        <f>IF(C119=2,AJ143,AN143)</f>
        <v>------</v>
      </c>
      <c r="AI150" s="32" t="s">
        <v>71</v>
      </c>
      <c r="AJ150" s="33" t="s">
        <v>257</v>
      </c>
      <c r="AK150" s="27">
        <v>2100</v>
      </c>
      <c r="AL150" s="34">
        <v>28.07</v>
      </c>
      <c r="AM150" s="29">
        <v>6343</v>
      </c>
      <c r="AN150" s="33" t="s">
        <v>128</v>
      </c>
      <c r="AO150" s="35" t="s">
        <v>128</v>
      </c>
      <c r="AP150" s="35" t="s">
        <v>128</v>
      </c>
      <c r="AQ150" s="29" t="s">
        <v>128</v>
      </c>
      <c r="AS150" s="85">
        <f t="shared" si="7"/>
        <v>0</v>
      </c>
      <c r="AT150" s="85">
        <f>IF(AS150=0,0,(IF(AS150=H10,IF(AS150*AM150&gt;AK150,"по объёму","МИН"),IF(AS150*AL150&gt;AK150,"по весу","МИН"))))</f>
        <v>0</v>
      </c>
      <c r="AV150" s="85"/>
      <c r="AW150" s="93"/>
      <c r="AX150" s="85"/>
    </row>
    <row r="151" spans="13:50" ht="15" hidden="1">
      <c r="M151" s="171" t="s">
        <v>50</v>
      </c>
      <c r="N151" s="180" t="s">
        <v>25</v>
      </c>
      <c r="O151" s="178" t="s">
        <v>22</v>
      </c>
      <c r="P151" s="178">
        <v>20</v>
      </c>
      <c r="Q151" s="177">
        <f t="shared" si="1"/>
        <v>1240</v>
      </c>
      <c r="R151" s="198">
        <v>62</v>
      </c>
      <c r="S151" s="198">
        <v>60</v>
      </c>
      <c r="T151" s="198">
        <v>60</v>
      </c>
      <c r="U151" s="198">
        <v>60</v>
      </c>
      <c r="V151" s="194">
        <v>60</v>
      </c>
      <c r="W151" s="134">
        <f t="shared" si="3"/>
        <v>62</v>
      </c>
      <c r="X151" s="96">
        <f>IF(D128=0,0,ROUNDUP(IF(IF((167*H10)&lt;F10,F10,(167*H10))&lt;P151,P151,IF((167*H10)&lt;F10,F10,(167*H10))),0))</f>
        <v>0</v>
      </c>
      <c r="Z151" s="85">
        <f>IF(C119=1,ROUND(AC151,0),IF(C119=2,ROUND(AD151,0),ROUND(AE151,0)))</f>
        <v>0</v>
      </c>
      <c r="AA151" s="68">
        <v>25</v>
      </c>
      <c r="AB151" t="s">
        <v>51</v>
      </c>
      <c r="AC151" s="85">
        <f>IF(X152&lt;51,X152*R152,IF(X152&lt;101,X152*S152,IF(X152&lt;301,X152*T152,IF(X152&lt;501,X152*U152,X152*V152))))</f>
        <v>0</v>
      </c>
      <c r="AD151" s="92">
        <v>1</v>
      </c>
      <c r="AE151" s="92">
        <v>1</v>
      </c>
      <c r="AI151" s="32" t="s">
        <v>73</v>
      </c>
      <c r="AJ151" s="33" t="s">
        <v>144</v>
      </c>
      <c r="AK151" s="27">
        <v>1200</v>
      </c>
      <c r="AL151" s="34">
        <v>21.189999999999998</v>
      </c>
      <c r="AM151" s="29">
        <v>4623</v>
      </c>
      <c r="AN151" s="33" t="s">
        <v>128</v>
      </c>
      <c r="AO151" s="35" t="s">
        <v>128</v>
      </c>
      <c r="AP151" s="35" t="s">
        <v>128</v>
      </c>
      <c r="AQ151" s="29" t="s">
        <v>128</v>
      </c>
      <c r="AS151" s="85">
        <f t="shared" si="7"/>
        <v>0</v>
      </c>
      <c r="AT151" s="85">
        <f>IF(AS151=0,0,(IF(AS151=H10,IF(AS151*AM151&gt;AK151,"по объёму","МИН"),IF(AS151*AL151&gt;AK151,"по весу","МИН"))))</f>
        <v>0</v>
      </c>
      <c r="AV151" s="85"/>
      <c r="AW151" s="93"/>
      <c r="AX151" s="85"/>
    </row>
    <row r="152" spans="13:49" ht="15" hidden="1">
      <c r="M152" s="211" t="s">
        <v>51</v>
      </c>
      <c r="N152" s="170" t="s">
        <v>52</v>
      </c>
      <c r="O152" s="27" t="s">
        <v>22</v>
      </c>
      <c r="P152" s="27">
        <v>20</v>
      </c>
      <c r="Q152" s="28">
        <f t="shared" si="1"/>
        <v>1440</v>
      </c>
      <c r="R152" s="213">
        <v>72</v>
      </c>
      <c r="S152" s="196">
        <f>R152</f>
        <v>72</v>
      </c>
      <c r="T152" s="196">
        <f>S152</f>
        <v>72</v>
      </c>
      <c r="U152" s="196">
        <f>T152</f>
        <v>72</v>
      </c>
      <c r="V152" s="199">
        <f>U152</f>
        <v>72</v>
      </c>
      <c r="W152" s="134">
        <f t="shared" si="3"/>
        <v>72</v>
      </c>
      <c r="X152" s="96">
        <f>IF(D128=0,0,ROUNDUP(IF(IF((167*H10)&lt;F10,F10,(167*H10))&lt;P152,P152,IF((167*H10)&lt;F10,F10,(167*H10))),0))</f>
        <v>0</v>
      </c>
      <c r="Z152" s="85">
        <f>IF(C119=1,ROUND(AC152,0),IF(C119=2,ROUND(AD152,0),ROUND(AE152,0)))</f>
        <v>0</v>
      </c>
      <c r="AA152" s="68">
        <v>26</v>
      </c>
      <c r="AB152" t="s">
        <v>222</v>
      </c>
      <c r="AC152" s="85">
        <f>IF(X153&lt;51,X153*R153,IF(X153&lt;101,X153*S153,IF(X153&lt;301,X153*T153,IF(X153&lt;501,X153*U153,X153*V153))))</f>
        <v>0</v>
      </c>
      <c r="AD152" s="85">
        <f>IF(AT144="МИН",AK144,IF(AT144="по весу",AS144*AL144,AS144*AM144))</f>
        <v>0</v>
      </c>
      <c r="AE152" s="92">
        <v>1</v>
      </c>
      <c r="AF152" s="133">
        <f>IF(C119=2,AT144,IF(C119=1,"",AW144))</f>
      </c>
      <c r="AG152" s="146" t="str">
        <f>IF(C119=2,IF(AT144="по весу",AL144,IF(AT144="мин",AK144,AM144)),IF(AW144="по весу",AP144,IF(AW144="мин",AO144,AQ144)))</f>
        <v>------</v>
      </c>
      <c r="AH152" s="137" t="str">
        <f>IF(C119=2,AJ144,AN144)</f>
        <v>------</v>
      </c>
      <c r="AI152" s="32" t="s">
        <v>75</v>
      </c>
      <c r="AJ152" s="33" t="s">
        <v>139</v>
      </c>
      <c r="AK152" s="36">
        <v>600</v>
      </c>
      <c r="AL152" s="37">
        <v>8.7</v>
      </c>
      <c r="AM152" s="29">
        <v>1176</v>
      </c>
      <c r="AN152" s="33" t="s">
        <v>139</v>
      </c>
      <c r="AO152" s="36">
        <v>600</v>
      </c>
      <c r="AP152" s="37">
        <v>8.7</v>
      </c>
      <c r="AQ152" s="29">
        <v>1176</v>
      </c>
      <c r="AS152" s="85">
        <f t="shared" si="7"/>
        <v>0</v>
      </c>
      <c r="AT152" s="85">
        <f>IF(AS152=0,0,(IF(AS152=H10,IF(AS152*AM152&gt;AK152,"по объёму","МИН"),IF(AS152*AL152&gt;AK152,"по весу","МИН"))))</f>
        <v>0</v>
      </c>
      <c r="AV152" s="85">
        <f>IF(F10*AP152&gt;H10*AQ152,F10,H10)</f>
        <v>0</v>
      </c>
      <c r="AW152" s="93">
        <f>IF(AV152=0,0,IF(AV152=H10,IF(AV152*AQ152&gt;AO152,"по объёму","МИН"),IF(AV152=F10,IF(AV152*AP152&gt;AO152,"по весу","МИН"))))</f>
        <v>0</v>
      </c>
    </row>
    <row r="153" spans="13:49" ht="15" hidden="1">
      <c r="M153" s="211" t="s">
        <v>53</v>
      </c>
      <c r="N153" s="170" t="s">
        <v>245</v>
      </c>
      <c r="O153" s="27" t="s">
        <v>19</v>
      </c>
      <c r="P153" s="27">
        <v>30</v>
      </c>
      <c r="Q153" s="28">
        <f t="shared" si="1"/>
        <v>2430</v>
      </c>
      <c r="R153" s="214">
        <v>81</v>
      </c>
      <c r="S153" s="27">
        <v>70</v>
      </c>
      <c r="T153" s="27">
        <v>70</v>
      </c>
      <c r="U153" s="27">
        <v>70</v>
      </c>
      <c r="V153" s="77">
        <v>70</v>
      </c>
      <c r="W153" s="134">
        <f t="shared" si="3"/>
        <v>81</v>
      </c>
      <c r="X153" s="96">
        <f>IF(D128=0,0,ROUNDUP(IF(IF((167*H10)&lt;F10,F10,(167*H10))&lt;P153,P153,IF((167*H10)&lt;F10,F10,(167*H10))),0))</f>
        <v>0</v>
      </c>
      <c r="Z153" s="85">
        <f>IF(C119=1,ROUND(AC153,0),IF(C119=2,ROUND(AD153,0),ROUND(AE153,0)))</f>
        <v>0</v>
      </c>
      <c r="AA153" s="68">
        <v>27</v>
      </c>
      <c r="AB153" t="s">
        <v>54</v>
      </c>
      <c r="AC153" s="85">
        <f>IF(X154&lt;51,X154*R154,IF(X154&lt;101,X154*S154,IF(X154&lt;301,X154*T154,IF(X154&lt;501,X154*U154,X154*V154))))</f>
        <v>0</v>
      </c>
      <c r="AD153" s="85">
        <f>IF(AT145="МИН",AK145,IF(AT145="по весу",AS145*AL145,AS145*AM145))</f>
        <v>0</v>
      </c>
      <c r="AE153" s="91">
        <f>IF(AW145="МИН",AO145,IF(AW145="по весу",AV145*AP145,AV145*AQ145))</f>
        <v>0</v>
      </c>
      <c r="AF153" s="133">
        <f>IF(C119=2,AT145,IF(C119=1,"",AW145))</f>
      </c>
      <c r="AG153" s="146">
        <f>IF(C119=2,IF(AT145="по весу",AL145,IF(AT145="мин",AK145,AM145)),IF(AW145="по весу",AP145,IF(AW145="мин",AO145,AQ145)))</f>
        <v>1638</v>
      </c>
      <c r="AH153" s="148" t="str">
        <f>IF(C119=2,AJ145,AN145)</f>
        <v>3 </v>
      </c>
      <c r="AI153" s="32" t="s">
        <v>243</v>
      </c>
      <c r="AJ153" s="33" t="s">
        <v>144</v>
      </c>
      <c r="AK153" s="27">
        <v>1000</v>
      </c>
      <c r="AL153" s="34">
        <v>15.9</v>
      </c>
      <c r="AM153" s="29">
        <v>3168</v>
      </c>
      <c r="AN153" s="33" t="s">
        <v>151</v>
      </c>
      <c r="AO153" s="27">
        <v>1200</v>
      </c>
      <c r="AP153" s="37">
        <v>9.6</v>
      </c>
      <c r="AQ153" s="29">
        <v>2150</v>
      </c>
      <c r="AS153" s="85">
        <f t="shared" si="7"/>
        <v>0</v>
      </c>
      <c r="AT153" s="85">
        <f>IF(AS153=0,0,(IF(AS153=H10,IF(AS153*AM153&gt;AK153,"по объёму","МИН"),IF(AS153*AL153&gt;AK153,"по весу","МИН"))))</f>
        <v>0</v>
      </c>
      <c r="AV153" s="85">
        <f>IF(F10*AP153&gt;H10*AQ153,F10,H10)</f>
        <v>0</v>
      </c>
      <c r="AW153" s="93">
        <f>IF(AV153=0,0,IF(AV153=H10,IF(AV153*AQ153&gt;AO153,"по объёму","МИН"),IF(AV153=F10,IF(AV153*AP153&gt;AO153,"по весу","МИН"))))</f>
        <v>0</v>
      </c>
    </row>
    <row r="154" spans="13:49" ht="15" hidden="1">
      <c r="M154" s="76" t="s">
        <v>54</v>
      </c>
      <c r="N154" s="175" t="s">
        <v>269</v>
      </c>
      <c r="O154" s="176" t="s">
        <v>22</v>
      </c>
      <c r="P154" s="176">
        <v>20</v>
      </c>
      <c r="Q154" s="177">
        <f t="shared" si="1"/>
        <v>880</v>
      </c>
      <c r="R154" s="198">
        <v>44</v>
      </c>
      <c r="S154" s="198">
        <v>44</v>
      </c>
      <c r="T154" s="198">
        <v>43</v>
      </c>
      <c r="U154" s="198">
        <v>42</v>
      </c>
      <c r="V154" s="203">
        <v>42</v>
      </c>
      <c r="W154" s="134">
        <f t="shared" si="3"/>
        <v>44</v>
      </c>
      <c r="X154" s="96">
        <f>IF(D128=0,0,ROUNDUP(IF(IF((167*H10)&lt;F10,F10,(167*H10))&lt;P154,P154,IF((167*H10)&lt;F10,F10,(167*H10))),0))</f>
        <v>0</v>
      </c>
      <c r="Z154" s="85">
        <f>IF(C119=1,ROUND(AC154,0),IF(C119=2,ROUND(AD154,0),ROUND(AE154,0)))</f>
        <v>0</v>
      </c>
      <c r="AA154" s="68">
        <v>28</v>
      </c>
      <c r="AB154" t="s">
        <v>55</v>
      </c>
      <c r="AC154" s="85">
        <f>IF(X155&lt;51,X155*R155,IF(X155&lt;101,X155*S155,IF(X155&lt;301,X155*T155,IF(X155&lt;501,X155*U155,X155*V155))))</f>
        <v>0</v>
      </c>
      <c r="AD154" s="85">
        <f>IF(AT146="МИН",AK146,IF(AT146="по весу",AS146*AL146,AS146*AM146))</f>
        <v>0</v>
      </c>
      <c r="AE154" s="91">
        <f>IF(AW146="МИН",AO146,IF(AW146="по весу",AV146*AP146,AV146*AQ146))</f>
        <v>0</v>
      </c>
      <c r="AF154" s="133">
        <f>IF(C119=2,AT146,IF(C119=1,"",AW146))</f>
      </c>
      <c r="AG154" s="146">
        <f>IF(C119=2,IF(AT146="по весу",AL146,IF(AT146="мин",AK146,AM146)),IF(AW146="по весу",AP146,IF(AW146="мин",AO146,AQ146)))</f>
        <v>2340</v>
      </c>
      <c r="AH154" s="137" t="str">
        <f>IF(C119=2,AJ146,AN146)</f>
        <v>10-11</v>
      </c>
      <c r="AI154" s="32" t="s">
        <v>152</v>
      </c>
      <c r="AJ154" s="33" t="s">
        <v>150</v>
      </c>
      <c r="AK154" s="27">
        <v>1000</v>
      </c>
      <c r="AL154" s="34">
        <v>14.9</v>
      </c>
      <c r="AM154" s="29">
        <v>3079</v>
      </c>
      <c r="AN154" s="33" t="s">
        <v>153</v>
      </c>
      <c r="AO154" s="35" t="s">
        <v>280</v>
      </c>
      <c r="AP154" s="37">
        <v>11.1</v>
      </c>
      <c r="AQ154" s="29">
        <v>3350</v>
      </c>
      <c r="AS154" s="85">
        <f t="shared" si="7"/>
        <v>0</v>
      </c>
      <c r="AT154" s="85">
        <f>IF(AS154=0,0,(IF(AS154=H10,IF(AS154*AM154&gt;AK154,"по объёму","МИН"),IF(AS154*AL154&gt;AK154,"по весу","МИН"))))</f>
        <v>0</v>
      </c>
      <c r="AV154" s="85">
        <f>IF(F10*AP154&gt;H10*AQ154,F10,H10)</f>
        <v>0</v>
      </c>
      <c r="AW154" s="93">
        <f>IF(AV154=0,0,IF(AV154=H10,IF(AV154*AQ154&gt;AO154,"по объёму","МИН"),IF(AV154=F10,IF(AV154*AP154&gt;AO154,"по весу","МИН"))))</f>
        <v>0</v>
      </c>
    </row>
    <row r="155" spans="13:50" ht="15" hidden="1">
      <c r="M155" s="171" t="s">
        <v>55</v>
      </c>
      <c r="N155" s="180" t="s">
        <v>25</v>
      </c>
      <c r="O155" s="178" t="s">
        <v>22</v>
      </c>
      <c r="P155" s="178">
        <v>20</v>
      </c>
      <c r="Q155" s="177">
        <f t="shared" si="1"/>
        <v>1280</v>
      </c>
      <c r="R155" s="198">
        <v>64</v>
      </c>
      <c r="S155" s="198">
        <v>62</v>
      </c>
      <c r="T155" s="198">
        <v>62</v>
      </c>
      <c r="U155" s="198">
        <v>61</v>
      </c>
      <c r="V155" s="194">
        <v>60</v>
      </c>
      <c r="W155" s="134">
        <f t="shared" si="3"/>
        <v>64</v>
      </c>
      <c r="X155" s="96">
        <f>IF(D128=0,0,ROUNDUP(IF(IF((167*H10)&lt;F10,F10,(167*H10))&lt;P155,P155,IF((167*H10)&lt;F10,F10,(167*H10))),0))</f>
        <v>0</v>
      </c>
      <c r="Z155" s="85">
        <f>IF(C119=1,ROUND(AC155,0),IF(C119=2,ROUND(AD155,0),ROUND(AE155,0)))</f>
        <v>0</v>
      </c>
      <c r="AA155" s="68">
        <v>29</v>
      </c>
      <c r="AB155" t="s">
        <v>56</v>
      </c>
      <c r="AC155" s="85">
        <f>IF(X156&lt;51,X156*R156,IF(X156&lt;101,X156*S156,IF(X156&lt;301,X156*T156,IF(X156&lt;501,X156*U156,X156*V156))))</f>
        <v>0</v>
      </c>
      <c r="AD155" s="85">
        <f>IF(AT147="МИН",AK147,IF(AT147="по весу",AS147*AL147,AS147*AM147))</f>
        <v>0</v>
      </c>
      <c r="AE155" s="92">
        <v>1</v>
      </c>
      <c r="AF155" s="133">
        <f>IF(C119=2,AT147,IF(C119=1,"",AW147))</f>
      </c>
      <c r="AG155" s="146" t="str">
        <f>IF(C119=2,IF(AT147="по весу",AL147,IF(AT147="мин",AK147,AM147)),IF(AW147="по весу",AP147,IF(AW147="мин",AO147,AQ147)))</f>
        <v>------</v>
      </c>
      <c r="AH155" s="137" t="str">
        <f>IF(C119=2,AJ147,AN147)</f>
        <v>------</v>
      </c>
      <c r="AI155" s="32" t="s">
        <v>78</v>
      </c>
      <c r="AJ155" s="33" t="s">
        <v>127</v>
      </c>
      <c r="AK155" s="27">
        <v>1300</v>
      </c>
      <c r="AL155" s="34">
        <v>25.299999999999997</v>
      </c>
      <c r="AM155" s="29">
        <v>5650</v>
      </c>
      <c r="AN155" s="33" t="s">
        <v>128</v>
      </c>
      <c r="AO155" s="35" t="s">
        <v>128</v>
      </c>
      <c r="AP155" s="35" t="s">
        <v>128</v>
      </c>
      <c r="AQ155" s="29" t="s">
        <v>128</v>
      </c>
      <c r="AS155" s="85">
        <f t="shared" si="7"/>
        <v>0</v>
      </c>
      <c r="AT155" s="85">
        <f>IF(AS155=0,0,(IF(AS155=H10,IF(AS155*AM155&gt;AK155,"по объёму","МИН"),IF(AS155*AL155&gt;AK155,"по весу","МИН"))))</f>
        <v>0</v>
      </c>
      <c r="AV155" s="85"/>
      <c r="AW155" s="93"/>
      <c r="AX155" s="85"/>
    </row>
    <row r="156" spans="13:50" ht="15" hidden="1">
      <c r="M156" s="171" t="s">
        <v>56</v>
      </c>
      <c r="N156" s="180" t="s">
        <v>57</v>
      </c>
      <c r="O156" s="178" t="s">
        <v>19</v>
      </c>
      <c r="P156" s="178">
        <v>30</v>
      </c>
      <c r="Q156" s="177">
        <f t="shared" si="1"/>
        <v>3150</v>
      </c>
      <c r="R156" s="178">
        <v>105</v>
      </c>
      <c r="S156" s="178">
        <v>105</v>
      </c>
      <c r="T156" s="178">
        <v>105</v>
      </c>
      <c r="U156" s="178">
        <v>105</v>
      </c>
      <c r="V156" s="183">
        <v>105</v>
      </c>
      <c r="W156" s="134">
        <f t="shared" si="3"/>
        <v>105</v>
      </c>
      <c r="X156" s="96">
        <f>IF(D128=0,0,ROUNDUP(IF(IF((167*H10)&lt;F10,F10,(167*H10))&lt;P156,P156,IF((167*H10)&lt;F10,F10,(167*H10))),0))</f>
        <v>0</v>
      </c>
      <c r="Z156" s="85">
        <f>IF(C119=1,ROUND(AC156,0),IF(C119=2,ROUND(AD156,0),ROUND(AE156,0)))</f>
        <v>0</v>
      </c>
      <c r="AA156" s="68">
        <v>30</v>
      </c>
      <c r="AB156" t="s">
        <v>58</v>
      </c>
      <c r="AC156" s="85">
        <f>IF(X158&lt;51,X158*R158,IF(X158&lt;101,X158*S158,IF(X158&lt;301,X158*T158,IF(X158&lt;501,X158*U158,X158*V158))))</f>
        <v>0</v>
      </c>
      <c r="AD156" s="92">
        <v>1</v>
      </c>
      <c r="AE156" s="92">
        <v>1</v>
      </c>
      <c r="AI156" s="32" t="s">
        <v>79</v>
      </c>
      <c r="AJ156" s="33" t="s">
        <v>140</v>
      </c>
      <c r="AK156" s="27">
        <v>1300</v>
      </c>
      <c r="AL156" s="34">
        <v>23.85</v>
      </c>
      <c r="AM156" s="29">
        <v>5288</v>
      </c>
      <c r="AN156" s="33" t="s">
        <v>128</v>
      </c>
      <c r="AO156" s="35" t="s">
        <v>128</v>
      </c>
      <c r="AP156" s="35" t="s">
        <v>128</v>
      </c>
      <c r="AQ156" s="29" t="s">
        <v>128</v>
      </c>
      <c r="AS156" s="85">
        <f t="shared" si="7"/>
        <v>0</v>
      </c>
      <c r="AT156" s="85">
        <f>IF(AS156=0,0,(IF(AS156=H10,IF(AS156*AM156&gt;AK156,"по объёму","МИН"),IF(AS156*AL156&gt;AK156,"по весу","МИН"))))</f>
        <v>0</v>
      </c>
      <c r="AV156" s="85"/>
      <c r="AW156" s="93"/>
      <c r="AX156" s="85"/>
    </row>
    <row r="157" spans="13:49" ht="15" hidden="1">
      <c r="M157" s="240" t="s">
        <v>58</v>
      </c>
      <c r="N157" s="212" t="s">
        <v>239</v>
      </c>
      <c r="O157" s="27" t="s">
        <v>22</v>
      </c>
      <c r="P157" s="27">
        <v>30</v>
      </c>
      <c r="Q157" s="28">
        <f t="shared" si="1"/>
        <v>4500</v>
      </c>
      <c r="R157" s="196">
        <v>150</v>
      </c>
      <c r="S157" s="196">
        <f>R157</f>
        <v>150</v>
      </c>
      <c r="T157" s="196">
        <f>S157</f>
        <v>150</v>
      </c>
      <c r="U157" s="196">
        <f>T157</f>
        <v>150</v>
      </c>
      <c r="V157" s="199">
        <f>U157</f>
        <v>150</v>
      </c>
      <c r="W157" s="134">
        <f t="shared" si="3"/>
        <v>150</v>
      </c>
      <c r="X157" s="96">
        <f>IF(D128=0,0,ROUNDUP(IF(IF((167*H10)&lt;F10,F10,(167*H10))&lt;P157,P157,IF((167*H10)&lt;F10,F10,(167*H10))),0))</f>
        <v>0</v>
      </c>
      <c r="Y157" s="85">
        <f>IF(X157&lt;51,X157*R157,IF(X157&lt;101,X157*S157,IF(X157&lt;301,X157*T157,IF(X157&lt;501,X157*U157,X157*V157))))</f>
        <v>0</v>
      </c>
      <c r="Z157" s="85">
        <f>IF(C119=1,ROUND(AC157,0),IF(C119=2,ROUND(AD157,0),ROUND(AE157,0)))</f>
        <v>0</v>
      </c>
      <c r="AA157" s="68">
        <v>31</v>
      </c>
      <c r="AB157" t="s">
        <v>60</v>
      </c>
      <c r="AC157" s="85">
        <f>IF(X159&lt;51,X159*R159,IF(X159&lt;101,X159*S159,IF(X159&lt;301,X159*T159,IF(X159&lt;501,X159*U159,X159*V159))))</f>
        <v>0</v>
      </c>
      <c r="AD157" s="85">
        <f>IF(AT148="МИН",AK148,IF(AT148="по весу",AS148*AL148,AS148*AM148))</f>
        <v>0</v>
      </c>
      <c r="AE157" s="92">
        <v>1</v>
      </c>
      <c r="AF157" s="133">
        <f>IF(C119=2,AT148,IF(C119=1,"",AW148))</f>
      </c>
      <c r="AG157" s="146" t="str">
        <f>IF(C119=2,IF(AT148="по весу",AL148,IF(AT148="мин",AK148,AM148)),IF(AW148="по весу",AP148,IF(AW148="мин",AO148,AQ148)))</f>
        <v>------</v>
      </c>
      <c r="AH157" s="137" t="str">
        <f>IF(C119=2,AJ148,AN148)</f>
        <v>------</v>
      </c>
      <c r="AI157" s="32" t="s">
        <v>154</v>
      </c>
      <c r="AJ157" s="33" t="s">
        <v>130</v>
      </c>
      <c r="AK157" s="27">
        <v>900</v>
      </c>
      <c r="AL157" s="34">
        <v>12.56</v>
      </c>
      <c r="AM157" s="29">
        <v>2191</v>
      </c>
      <c r="AN157" s="33" t="s">
        <v>140</v>
      </c>
      <c r="AO157" s="35" t="s">
        <v>281</v>
      </c>
      <c r="AP157" s="37">
        <v>7.4</v>
      </c>
      <c r="AQ157" s="29">
        <v>1900</v>
      </c>
      <c r="AS157" s="85">
        <f t="shared" si="7"/>
        <v>0</v>
      </c>
      <c r="AT157" s="85">
        <f>IF(AS157=0,0,(IF(AS157=H10,IF(AS157*AM157&gt;AK157,"по объёму","МИН"),IF(AS157*AL157&gt;AK157,"по весу","МИН"))))</f>
        <v>0</v>
      </c>
      <c r="AV157" s="85">
        <f>IF(F10*AP157&gt;H10*AQ157,F10,H10)</f>
        <v>0</v>
      </c>
      <c r="AW157" s="93">
        <f>IF(AV157=0,0,IF(AV157=H10,IF(AV157*AQ157&gt;AO157,"по объёму","МИН"),IF(AV157=F10,IF(AV157*AP157&gt;AO157,"по весу","МИН"))))</f>
        <v>0</v>
      </c>
    </row>
    <row r="158" spans="13:50" ht="15" hidden="1">
      <c r="M158" s="240"/>
      <c r="N158" s="180" t="s">
        <v>72</v>
      </c>
      <c r="O158" s="178" t="s">
        <v>19</v>
      </c>
      <c r="P158" s="178">
        <v>30</v>
      </c>
      <c r="Q158" s="177">
        <f t="shared" si="1"/>
        <v>3900</v>
      </c>
      <c r="R158" s="181">
        <v>130</v>
      </c>
      <c r="S158" s="181">
        <f aca="true" t="shared" si="9" ref="S158:V159">R158</f>
        <v>130</v>
      </c>
      <c r="T158" s="181">
        <f t="shared" si="9"/>
        <v>130</v>
      </c>
      <c r="U158" s="181">
        <f t="shared" si="9"/>
        <v>130</v>
      </c>
      <c r="V158" s="182">
        <f t="shared" si="9"/>
        <v>130</v>
      </c>
      <c r="W158" s="134">
        <f t="shared" si="3"/>
        <v>130</v>
      </c>
      <c r="X158" s="96">
        <f>IF(D128=0,0,ROUNDUP(IF(IF((167*H10)&lt;F10,F10,(167*H10))&lt;P158,P158,IF((167*H10)&lt;F10,F10,(167*H10))),0))</f>
        <v>0</v>
      </c>
      <c r="Z158" s="85">
        <f>IF(C119=1,ROUND(AC158,0),IF(C119=2,ROUND(AD158,0),ROUND(AE158,0)))</f>
        <v>0</v>
      </c>
      <c r="AA158" s="68">
        <v>32</v>
      </c>
      <c r="AB158" t="s">
        <v>62</v>
      </c>
      <c r="AC158" s="85">
        <f>IF(X160&lt;51,X160*R160,IF(X160&lt;101,X160*S160,IF(X160&lt;301,X160*T160,IF(X160&lt;501,X160*U160,X160*V160))))</f>
        <v>0</v>
      </c>
      <c r="AD158" s="92">
        <v>1</v>
      </c>
      <c r="AE158" s="92">
        <v>1</v>
      </c>
      <c r="AI158" s="32" t="s">
        <v>83</v>
      </c>
      <c r="AJ158" s="33" t="s">
        <v>129</v>
      </c>
      <c r="AK158" s="27">
        <v>750</v>
      </c>
      <c r="AL158" s="34">
        <v>12.03</v>
      </c>
      <c r="AM158" s="29">
        <v>2188</v>
      </c>
      <c r="AN158" s="33" t="s">
        <v>128</v>
      </c>
      <c r="AO158" s="35" t="s">
        <v>128</v>
      </c>
      <c r="AP158" s="35" t="s">
        <v>128</v>
      </c>
      <c r="AQ158" s="29" t="s">
        <v>128</v>
      </c>
      <c r="AS158" s="85">
        <f t="shared" si="7"/>
        <v>0</v>
      </c>
      <c r="AT158" s="85">
        <f>IF(AS158=0,0,(IF(AS158=H10,IF(AS158*AM158&gt;AK158,"по объёму","МИН"),IF(AS158*AL158&gt;AK158,"по весу","МИН"))))</f>
        <v>0</v>
      </c>
      <c r="AV158" s="85"/>
      <c r="AW158" s="93"/>
      <c r="AX158" s="85"/>
    </row>
    <row r="159" spans="13:50" ht="15" hidden="1">
      <c r="M159" s="171" t="s">
        <v>60</v>
      </c>
      <c r="N159" s="180" t="s">
        <v>61</v>
      </c>
      <c r="O159" s="178" t="s">
        <v>19</v>
      </c>
      <c r="P159" s="178">
        <v>20</v>
      </c>
      <c r="Q159" s="177">
        <f t="shared" si="1"/>
        <v>1080</v>
      </c>
      <c r="R159" s="181">
        <v>54</v>
      </c>
      <c r="S159" s="181">
        <f t="shared" si="9"/>
        <v>54</v>
      </c>
      <c r="T159" s="181">
        <f t="shared" si="9"/>
        <v>54</v>
      </c>
      <c r="U159" s="181">
        <f t="shared" si="9"/>
        <v>54</v>
      </c>
      <c r="V159" s="182">
        <f t="shared" si="9"/>
        <v>54</v>
      </c>
      <c r="W159" s="134">
        <f t="shared" si="3"/>
        <v>54</v>
      </c>
      <c r="X159" s="96">
        <f>IF(D128=0,0,ROUNDUP(IF(IF((167*H10)&lt;F10,F10,(167*H10))&lt;P159,P159,IF((167*H10)&lt;F10,F10,(167*H10))),0))</f>
        <v>0</v>
      </c>
      <c r="Z159" s="85">
        <f>IF(C119=1,ROUND(AC159,0),IF(C119=2,ROUND(AD159,0),ROUND(AE159,0)))</f>
        <v>0</v>
      </c>
      <c r="AA159" s="68">
        <v>33</v>
      </c>
      <c r="AB159" t="s">
        <v>221</v>
      </c>
      <c r="AC159" s="85">
        <f>IF(X161&lt;51,X161*R161,IF(X161&lt;101,X161*S161,IF(X161&lt;301,X161*T161,IF(X161&lt;501,X161*U161,X161*V161))))</f>
        <v>0</v>
      </c>
      <c r="AD159" s="92">
        <v>1</v>
      </c>
      <c r="AE159" s="92">
        <v>1</v>
      </c>
      <c r="AI159" s="32" t="s">
        <v>85</v>
      </c>
      <c r="AJ159" s="33" t="s">
        <v>259</v>
      </c>
      <c r="AK159" s="27">
        <v>750</v>
      </c>
      <c r="AL159" s="34">
        <v>12.68</v>
      </c>
      <c r="AM159" s="29">
        <v>2368</v>
      </c>
      <c r="AN159" s="33" t="s">
        <v>128</v>
      </c>
      <c r="AO159" s="35" t="s">
        <v>128</v>
      </c>
      <c r="AP159" s="35" t="s">
        <v>128</v>
      </c>
      <c r="AQ159" s="29" t="s">
        <v>128</v>
      </c>
      <c r="AS159" s="85">
        <f t="shared" si="7"/>
        <v>0</v>
      </c>
      <c r="AT159" s="85">
        <f>IF(AS159=0,0,(IF(AS159=H10,IF(AS159*AM159&gt;AK159,"по объёму","МИН"),IF(AS159*AL159&gt;AK159,"по весу","МИН"))))</f>
        <v>0</v>
      </c>
      <c r="AV159" s="85"/>
      <c r="AW159" s="93"/>
      <c r="AX159" s="85"/>
    </row>
    <row r="160" spans="13:50" ht="15" hidden="1">
      <c r="M160" s="171" t="s">
        <v>62</v>
      </c>
      <c r="N160" s="201" t="s">
        <v>274</v>
      </c>
      <c r="O160" s="202" t="s">
        <v>22</v>
      </c>
      <c r="P160" s="202">
        <v>25</v>
      </c>
      <c r="Q160" s="28">
        <f t="shared" si="1"/>
        <v>1450</v>
      </c>
      <c r="R160" s="198">
        <v>58</v>
      </c>
      <c r="S160" s="198">
        <v>57</v>
      </c>
      <c r="T160" s="198">
        <v>57</v>
      </c>
      <c r="U160" s="198">
        <v>57</v>
      </c>
      <c r="V160" s="203">
        <v>56</v>
      </c>
      <c r="W160" s="134">
        <f t="shared" si="3"/>
        <v>58</v>
      </c>
      <c r="X160" s="96">
        <f>IF(D128=0,0,ROUNDUP(IF(IF((167*H10)&lt;F10,F10,(167*H10))&lt;P160,P160,IF((167*H10)&lt;F10,F10,(167*H10))),0))</f>
        <v>0</v>
      </c>
      <c r="Z160" s="85">
        <f>IF(C119=1,ROUND(AC160,0),IF(C119=2,ROUND(AD160,0),ROUND(AE160,0)))</f>
        <v>0</v>
      </c>
      <c r="AA160" s="68">
        <v>34</v>
      </c>
      <c r="AB160" t="s">
        <v>64</v>
      </c>
      <c r="AC160" s="85">
        <f>IF(X163&lt;51,X163*R163,IF(X163&lt;101,X163*S163,IF(X163&lt;301,X163*T163,IF(X163&lt;501,X163*U163,X163*V163))))</f>
        <v>0</v>
      </c>
      <c r="AD160" s="92">
        <v>1</v>
      </c>
      <c r="AE160" s="92">
        <v>1</v>
      </c>
      <c r="AI160" s="32" t="s">
        <v>86</v>
      </c>
      <c r="AJ160" s="33" t="s">
        <v>155</v>
      </c>
      <c r="AK160" s="27">
        <v>750</v>
      </c>
      <c r="AL160" s="34">
        <v>9.08</v>
      </c>
      <c r="AM160" s="29">
        <v>1374</v>
      </c>
      <c r="AN160" s="33" t="s">
        <v>128</v>
      </c>
      <c r="AO160" s="35" t="s">
        <v>128</v>
      </c>
      <c r="AP160" s="35" t="s">
        <v>128</v>
      </c>
      <c r="AQ160" s="29" t="s">
        <v>128</v>
      </c>
      <c r="AS160" s="85">
        <f t="shared" si="7"/>
        <v>0</v>
      </c>
      <c r="AT160" s="85">
        <f>IF(AS160=0,0,(IF(AS160=H10,IF(AS160*AM160&gt;AK160,"по объёму","МИН"),IF(AS160*AL160&gt;AK160,"по весу","МИН"))))</f>
        <v>0</v>
      </c>
      <c r="AV160" s="85"/>
      <c r="AW160" s="93"/>
      <c r="AX160" s="85"/>
    </row>
    <row r="161" spans="13:50" ht="15" hidden="1">
      <c r="M161" s="240" t="s">
        <v>63</v>
      </c>
      <c r="N161" s="212" t="s">
        <v>102</v>
      </c>
      <c r="O161" s="27" t="s">
        <v>22</v>
      </c>
      <c r="P161" s="27">
        <v>20</v>
      </c>
      <c r="Q161" s="28">
        <f t="shared" si="1"/>
        <v>920</v>
      </c>
      <c r="R161" s="196">
        <v>46</v>
      </c>
      <c r="S161" s="196">
        <f>R161</f>
        <v>46</v>
      </c>
      <c r="T161" s="196">
        <f>S161</f>
        <v>46</v>
      </c>
      <c r="U161" s="196">
        <f>T161</f>
        <v>46</v>
      </c>
      <c r="V161" s="199">
        <f>U161</f>
        <v>46</v>
      </c>
      <c r="W161" s="134">
        <f t="shared" si="3"/>
        <v>46</v>
      </c>
      <c r="X161" s="96">
        <f>IF(D128=0,0,ROUNDUP(IF(IF((167*H10)&lt;F10,F10,(167*H10))&lt;P161,P161,IF((167*H10)&lt;F10,F10,(167*H10))),0))</f>
        <v>0</v>
      </c>
      <c r="Z161" s="85">
        <f>IF(C119=1,ROUND(AC161,0),IF(C119=2,ROUND(AD161,0),ROUND(AE161,0)))</f>
        <v>0</v>
      </c>
      <c r="AA161" s="68">
        <v>35</v>
      </c>
      <c r="AB161" t="s">
        <v>66</v>
      </c>
      <c r="AC161" s="85">
        <f>IF(X165&lt;51,X165*R165,IF(X165&lt;101,X165*S165,IF(X165&lt;301,X165*T165,IF(X165&lt;501,X165*U165,X165*V165))))</f>
        <v>0</v>
      </c>
      <c r="AD161" s="85">
        <f>IF(AT149="МИН",AK149,IF(AT149="по весу",AS149*AL149,AS149*AM149))</f>
        <v>0</v>
      </c>
      <c r="AE161" s="92">
        <v>1</v>
      </c>
      <c r="AF161" s="133">
        <f>IF(C119=2,AT149,IF(C119=1,"",AW149))</f>
      </c>
      <c r="AG161" s="146" t="str">
        <f>IF(C119=2,IF(AT149="по весу",AL149,IF(AT149="мин",AK149,AM149)),IF(AW149="по весу",AP149,IF(AW149="мин",AO149,AQ149)))</f>
        <v>------</v>
      </c>
      <c r="AH161" s="137" t="str">
        <f>IF(C119=2,AJ149,AN149)</f>
        <v>------</v>
      </c>
      <c r="AI161" s="32" t="s">
        <v>88</v>
      </c>
      <c r="AJ161" s="33" t="s">
        <v>260</v>
      </c>
      <c r="AK161" s="27">
        <v>900</v>
      </c>
      <c r="AL161" s="34">
        <v>11.69</v>
      </c>
      <c r="AM161" s="29">
        <v>2095</v>
      </c>
      <c r="AN161" s="33" t="s">
        <v>128</v>
      </c>
      <c r="AO161" s="35" t="s">
        <v>128</v>
      </c>
      <c r="AP161" s="35" t="s">
        <v>128</v>
      </c>
      <c r="AQ161" s="29" t="s">
        <v>128</v>
      </c>
      <c r="AS161" s="85">
        <f t="shared" si="7"/>
        <v>0</v>
      </c>
      <c r="AT161" s="85">
        <f>IF(AS161=0,0,(IF(AS161=H10,IF(AS161*AM161&gt;AK161,"по объёму","МИН"),IF(AS161*AL161&gt;AK161,"по весу","МИН"))))</f>
        <v>0</v>
      </c>
      <c r="AV161" s="85"/>
      <c r="AW161" s="93"/>
      <c r="AX161" s="85"/>
    </row>
    <row r="162" spans="13:49" ht="15" hidden="1">
      <c r="M162" s="240"/>
      <c r="N162" s="180" t="s">
        <v>59</v>
      </c>
      <c r="O162" s="178" t="s">
        <v>22</v>
      </c>
      <c r="P162" s="178">
        <v>30</v>
      </c>
      <c r="Q162" s="177">
        <f t="shared" si="1"/>
        <v>1500</v>
      </c>
      <c r="R162" s="181">
        <v>50</v>
      </c>
      <c r="S162" s="181">
        <f aca="true" t="shared" si="10" ref="S162:V164">R162</f>
        <v>50</v>
      </c>
      <c r="T162" s="181">
        <f t="shared" si="10"/>
        <v>50</v>
      </c>
      <c r="U162" s="181">
        <f t="shared" si="10"/>
        <v>50</v>
      </c>
      <c r="V162" s="182">
        <f t="shared" si="10"/>
        <v>50</v>
      </c>
      <c r="W162" s="134">
        <f t="shared" si="3"/>
        <v>50</v>
      </c>
      <c r="X162" s="96">
        <f>IF(D128=0,0,ROUNDUP(IF(IF((167*H10)&lt;F10,F10,(167*H10))&lt;P162,P162,IF((167*H10)&lt;F10,F10,(167*H10))),0))</f>
        <v>0</v>
      </c>
      <c r="Y162" s="85">
        <f>IF(X162&lt;51,X162*R162,IF(X162&lt;101,X162*S162,IF(X162&lt;301,X162*T162,IF(X162&lt;501,X162*U162,X162*V162))))</f>
        <v>0</v>
      </c>
      <c r="Z162" s="85">
        <f>IF(C119=1,ROUND(AC162,0),IF(C119=2,ROUND(AD162,0),ROUND(AE162,0)))</f>
        <v>0</v>
      </c>
      <c r="AA162" s="68">
        <v>36</v>
      </c>
      <c r="AB162" t="s">
        <v>186</v>
      </c>
      <c r="AC162" s="85">
        <f>IF(X166&lt;51,X166*R166,IF(X166&lt;101,X166*S166,IF(X166&lt;301,X166*T166,IF(X166&lt;501,X166*U166,X166*V166))))</f>
        <v>0</v>
      </c>
      <c r="AD162" s="92">
        <v>1</v>
      </c>
      <c r="AE162" s="92">
        <v>1</v>
      </c>
      <c r="AI162" s="32" t="s">
        <v>91</v>
      </c>
      <c r="AJ162" s="33" t="s">
        <v>139</v>
      </c>
      <c r="AK162" s="36">
        <v>600</v>
      </c>
      <c r="AL162" s="34">
        <v>10.6</v>
      </c>
      <c r="AM162" s="29">
        <v>1788</v>
      </c>
      <c r="AN162" s="33" t="s">
        <v>139</v>
      </c>
      <c r="AO162" s="36">
        <v>600</v>
      </c>
      <c r="AP162" s="34">
        <v>10.6</v>
      </c>
      <c r="AQ162" s="29">
        <v>1788</v>
      </c>
      <c r="AS162" s="85">
        <f t="shared" si="7"/>
        <v>0</v>
      </c>
      <c r="AT162" s="85">
        <f>IF(AS162=0,0,(IF(AS162=H10,IF(AS162*AM162&gt;AK162,"по объёму","МИН"),IF(AS162*AL162&gt;AK162,"по весу","МИН"))))</f>
        <v>0</v>
      </c>
      <c r="AV162" s="85">
        <f>IF(F10*AP162&gt;H10*AQ162,F10,H10)</f>
        <v>0</v>
      </c>
      <c r="AW162" s="93">
        <f>IF(AV162=0,0,IF(AV162=H10,IF(AV162*AQ162&gt;AO162,"по объёму","МИН"),IF(AV162=F10,IF(AV162*AP162&gt;AO162,"по весу","МИН"))))</f>
        <v>0</v>
      </c>
    </row>
    <row r="163" spans="13:49" ht="15" hidden="1">
      <c r="M163" s="240" t="s">
        <v>64</v>
      </c>
      <c r="N163" s="180" t="s">
        <v>65</v>
      </c>
      <c r="O163" s="178" t="s">
        <v>19</v>
      </c>
      <c r="P163" s="178">
        <v>30</v>
      </c>
      <c r="Q163" s="177">
        <f t="shared" si="1"/>
        <v>2910</v>
      </c>
      <c r="R163" s="181">
        <v>97</v>
      </c>
      <c r="S163" s="181">
        <f t="shared" si="10"/>
        <v>97</v>
      </c>
      <c r="T163" s="181">
        <f t="shared" si="10"/>
        <v>97</v>
      </c>
      <c r="U163" s="181">
        <f t="shared" si="10"/>
        <v>97</v>
      </c>
      <c r="V163" s="182">
        <f t="shared" si="10"/>
        <v>97</v>
      </c>
      <c r="W163" s="134">
        <f t="shared" si="3"/>
        <v>97</v>
      </c>
      <c r="X163" s="96">
        <f>IF(D128=0,0,ROUNDUP(IF(IF((167*H10)&lt;F10,F10,(167*H10))&lt;P163,P163,IF((167*H10)&lt;F10,F10,(167*H10))),0))</f>
        <v>0</v>
      </c>
      <c r="Z163" s="85">
        <f>IF(C119=1,ROUND(AC163,0),IF(C119=2,ROUND(AD163,0),ROUND(AE163,0)))</f>
        <v>0</v>
      </c>
      <c r="AA163" s="68">
        <v>37</v>
      </c>
      <c r="AB163" t="s">
        <v>69</v>
      </c>
      <c r="AC163" s="85">
        <f>IF(X167&lt;51,X167*R167,IF(X167&lt;101,X167*S167,IF(X167&lt;301,X167*T167,IF(X167&lt;501,X167*U167,X167*V167))))</f>
        <v>0</v>
      </c>
      <c r="AD163" s="92">
        <v>1</v>
      </c>
      <c r="AE163" s="92">
        <v>1</v>
      </c>
      <c r="AI163" s="32" t="s">
        <v>94</v>
      </c>
      <c r="AJ163" s="33" t="s">
        <v>139</v>
      </c>
      <c r="AK163" s="36">
        <v>600</v>
      </c>
      <c r="AL163" s="34">
        <v>7.9</v>
      </c>
      <c r="AM163" s="29">
        <v>1540</v>
      </c>
      <c r="AN163" s="33" t="s">
        <v>139</v>
      </c>
      <c r="AO163" s="36">
        <v>600</v>
      </c>
      <c r="AP163" s="34">
        <v>7.9</v>
      </c>
      <c r="AQ163" s="29">
        <v>1540</v>
      </c>
      <c r="AS163" s="85">
        <f t="shared" si="7"/>
        <v>0</v>
      </c>
      <c r="AT163" s="85">
        <f>IF(AS163=0,0,(IF(AS163=H10,IF(AS163*AM163&gt;AK163,"по объёму","МИН"),IF(AS163*AL163&gt;AK163,"по весу","МИН"))))</f>
        <v>0</v>
      </c>
      <c r="AV163" s="85">
        <f>IF(F10*AP163&gt;H10*AQ163,F10,H10)</f>
        <v>0</v>
      </c>
      <c r="AW163" s="93">
        <f>IF(AV163=0,0,IF(AV163=H10,IF(AV163*AQ163&gt;AO163,"по объёму","МИН"),IF(AV163=F10,IF(AV163*AP163&gt;AO163,"по весу","МИН"))))</f>
        <v>0</v>
      </c>
    </row>
    <row r="164" spans="13:49" ht="15" hidden="1">
      <c r="M164" s="240"/>
      <c r="N164" s="212" t="s">
        <v>23</v>
      </c>
      <c r="O164" s="27" t="s">
        <v>22</v>
      </c>
      <c r="P164" s="27">
        <v>30</v>
      </c>
      <c r="Q164" s="28">
        <f t="shared" si="1"/>
        <v>3900</v>
      </c>
      <c r="R164" s="196">
        <v>130</v>
      </c>
      <c r="S164" s="196">
        <f t="shared" si="10"/>
        <v>130</v>
      </c>
      <c r="T164" s="196">
        <f t="shared" si="10"/>
        <v>130</v>
      </c>
      <c r="U164" s="196">
        <f t="shared" si="10"/>
        <v>130</v>
      </c>
      <c r="V164" s="199">
        <f t="shared" si="10"/>
        <v>130</v>
      </c>
      <c r="W164" s="134">
        <f t="shared" si="3"/>
        <v>130</v>
      </c>
      <c r="X164" s="96">
        <f>IF(D128=0,0,ROUNDUP(IF(IF((167*H10)&lt;F10,F10,(167*H10))&lt;P164,P164,IF((167*H10)&lt;F10,F10,(167*H10))),0))</f>
        <v>0</v>
      </c>
      <c r="Y164" s="85">
        <f>IF(X164&lt;51,X164*R164,IF(X164&lt;101,X164*S164,IF(X164&lt;301,X164*T164,IF(X164&lt;501,X164*U164,X164*V164))))</f>
        <v>0</v>
      </c>
      <c r="Z164" s="85">
        <f>IF(C119=1,ROUND(AC164,0),IF(C119=2,ROUND(AD164,0),ROUND(AE164,0)))</f>
        <v>0</v>
      </c>
      <c r="AA164" s="68">
        <v>38</v>
      </c>
      <c r="AB164" t="s">
        <v>70</v>
      </c>
      <c r="AC164" s="85">
        <f>IF(X169&lt;51,X169*R169,IF(X169&lt;101,X169*S169,IF(X169&lt;301,X169*T169,IF(X169&lt;501,X169*U169,X169*V169))))</f>
        <v>0</v>
      </c>
      <c r="AD164" s="92">
        <v>1</v>
      </c>
      <c r="AE164" s="92">
        <v>1</v>
      </c>
      <c r="AI164" s="32" t="s">
        <v>261</v>
      </c>
      <c r="AJ164" s="33" t="s">
        <v>155</v>
      </c>
      <c r="AK164" s="36">
        <v>600</v>
      </c>
      <c r="AL164" s="37">
        <v>8.6</v>
      </c>
      <c r="AM164" s="29">
        <v>1122</v>
      </c>
      <c r="AN164" s="33" t="s">
        <v>155</v>
      </c>
      <c r="AO164" s="36">
        <v>600</v>
      </c>
      <c r="AP164" s="37">
        <v>8.6</v>
      </c>
      <c r="AQ164" s="29">
        <v>1122</v>
      </c>
      <c r="AS164" s="85">
        <f t="shared" si="7"/>
        <v>0</v>
      </c>
      <c r="AT164" s="85">
        <f>IF(AS164=0,0,(IF(AS164=H10,IF(AS164*AM164&gt;AK164,"по объёму","МИН"),IF(AS164*AL164&gt;AK164,"по весу","МИН"))))</f>
        <v>0</v>
      </c>
      <c r="AV164" s="85">
        <f>IF(F10*AP164&gt;H10*AQ164,F10,H10)</f>
        <v>0</v>
      </c>
      <c r="AW164" s="93">
        <f>IF(AV164=0,0,IF(AV164=H10,IF(AV164*AQ164&gt;AO164,"по объёму","МИН"),IF(AV164=F10,IF(AV164*AP164&gt;AO164,"по весу","МИН"))))</f>
        <v>0</v>
      </c>
    </row>
    <row r="165" spans="13:50" ht="15" hidden="1">
      <c r="M165" s="171" t="s">
        <v>66</v>
      </c>
      <c r="N165" s="201" t="s">
        <v>275</v>
      </c>
      <c r="O165" s="202" t="s">
        <v>28</v>
      </c>
      <c r="P165" s="27">
        <v>30</v>
      </c>
      <c r="Q165" s="28">
        <f t="shared" si="1"/>
        <v>1710</v>
      </c>
      <c r="R165" s="27">
        <v>57</v>
      </c>
      <c r="S165" s="27">
        <v>57</v>
      </c>
      <c r="T165" s="27">
        <v>57</v>
      </c>
      <c r="U165" s="27">
        <v>57</v>
      </c>
      <c r="V165" s="77">
        <v>55</v>
      </c>
      <c r="W165" s="134">
        <f t="shared" si="3"/>
        <v>57</v>
      </c>
      <c r="X165" s="96">
        <f>IF(D128=0,0,ROUNDUP(IF(IF((167*H10)&lt;F10,F10,(167*H10))&lt;P165,P165,IF((167*H10)&lt;F10,F10,(167*H10))),0))</f>
        <v>0</v>
      </c>
      <c r="Z165" s="85">
        <f>IF(C119=1,ROUND(AC165,0),IF(C119=2,ROUND(AD165,0),ROUND(AE165,0)))</f>
        <v>0</v>
      </c>
      <c r="AA165" s="68">
        <v>39</v>
      </c>
      <c r="AB165" t="s">
        <v>71</v>
      </c>
      <c r="AC165" s="85">
        <f>IF(X171&lt;51,X171*R171,IF(X171&lt;101,X171*S171,IF(X171&lt;301,X171*T171,IF(X171&lt;501,X171*U171,X171*V171))))</f>
        <v>0</v>
      </c>
      <c r="AD165" s="85">
        <f>IF(AT150="МИН",AK150,IF(AT150="по весу",AS150*AL150,AS150*AM150))</f>
        <v>0</v>
      </c>
      <c r="AE165" s="92">
        <v>1</v>
      </c>
      <c r="AF165" s="133">
        <f>IF(C119=2,AT150,IF(C119=1,"",AW150))</f>
      </c>
      <c r="AG165" s="146" t="str">
        <f>IF(C119=2,IF(AT150="по весу",AL150,IF(AT150="мин",AK150,AM150)),IF(AW150="по весу",AP150,IF(AW150="мин",AO150,AQ150)))</f>
        <v>------</v>
      </c>
      <c r="AH165" s="137" t="str">
        <f>IF(C119=2,AJ150,AN150)</f>
        <v>------</v>
      </c>
      <c r="AI165" s="173" t="s">
        <v>96</v>
      </c>
      <c r="AJ165" s="33" t="s">
        <v>262</v>
      </c>
      <c r="AK165" s="36">
        <v>750</v>
      </c>
      <c r="AL165" s="37">
        <v>11.989999999999998</v>
      </c>
      <c r="AM165" s="29">
        <v>2178</v>
      </c>
      <c r="AN165" s="33" t="s">
        <v>128</v>
      </c>
      <c r="AO165" s="35" t="s">
        <v>128</v>
      </c>
      <c r="AP165" s="35" t="s">
        <v>128</v>
      </c>
      <c r="AQ165" s="29" t="s">
        <v>128</v>
      </c>
      <c r="AS165" s="85">
        <f t="shared" si="7"/>
        <v>0</v>
      </c>
      <c r="AT165" s="85">
        <f>IF(AS165=0,0,(IF(AS165=H10,IF(AS165*AM165&gt;AK165,"по объёму","МИН"),IF(AS165*AL165&gt;AK165,"по весу","МИН"))))</f>
        <v>0</v>
      </c>
      <c r="AV165" s="85"/>
      <c r="AW165" s="93"/>
      <c r="AX165" s="85"/>
    </row>
    <row r="166" spans="13:49" ht="15" hidden="1">
      <c r="M166" s="171" t="s">
        <v>67</v>
      </c>
      <c r="N166" s="180" t="s">
        <v>68</v>
      </c>
      <c r="O166" s="178" t="s">
        <v>22</v>
      </c>
      <c r="P166" s="178">
        <v>20</v>
      </c>
      <c r="Q166" s="177">
        <f t="shared" si="1"/>
        <v>1220</v>
      </c>
      <c r="R166" s="178">
        <v>61</v>
      </c>
      <c r="S166" s="178">
        <v>61</v>
      </c>
      <c r="T166" s="178">
        <v>58</v>
      </c>
      <c r="U166" s="178">
        <v>58</v>
      </c>
      <c r="V166" s="183">
        <v>57</v>
      </c>
      <c r="W166" s="134">
        <f t="shared" si="3"/>
        <v>61</v>
      </c>
      <c r="X166" s="96">
        <f>IF(D128=0,0,ROUNDUP(IF(IF((167*H10)&lt;F10,F10,(167*H10))&lt;P166,P166,IF((167*H10)&lt;F10,F10,(167*H10))),0))</f>
        <v>0</v>
      </c>
      <c r="Z166" s="85">
        <f>IF(C119=1,ROUND(AC166,0),IF(C119=2,ROUND(AD166,0),ROUND(AE166,0)))</f>
        <v>0</v>
      </c>
      <c r="AA166" s="68">
        <v>40</v>
      </c>
      <c r="AB166" t="s">
        <v>73</v>
      </c>
      <c r="AC166" s="85">
        <f>IF(X172&lt;51,X172*R172,IF(X172&lt;101,X172*S172,IF(X172&lt;301,X172*T172,IF(X172&lt;501,X172*U172,X172*V172))))</f>
        <v>0</v>
      </c>
      <c r="AD166" s="85">
        <f>IF(AT151="МИН",AK151,IF(AT151="по весу",AS151*AL151,AS151*AM151))</f>
        <v>0</v>
      </c>
      <c r="AE166" s="92">
        <v>1</v>
      </c>
      <c r="AF166" s="133">
        <f>IF(C119=2,AT151,IF(C119=1,"",AW151))</f>
      </c>
      <c r="AG166" s="146" t="str">
        <f>IF(C119=2,IF(AT151="по весу",AL151,IF(AT151="мин",AK151,AM151)),IF(AW151="по весу",AP151,IF(AW151="мин",AO151,AQ151)))</f>
        <v>------</v>
      </c>
      <c r="AH166" s="137" t="str">
        <f>IF(C119=2,AJ151,AN151)</f>
        <v>------</v>
      </c>
      <c r="AI166" s="32" t="s">
        <v>98</v>
      </c>
      <c r="AJ166" s="38">
        <v>3</v>
      </c>
      <c r="AK166" s="36">
        <v>600</v>
      </c>
      <c r="AL166" s="37">
        <v>9.1</v>
      </c>
      <c r="AM166" s="29">
        <v>1368</v>
      </c>
      <c r="AN166" s="38">
        <v>3</v>
      </c>
      <c r="AO166" s="36">
        <v>600</v>
      </c>
      <c r="AP166" s="37">
        <v>9.1</v>
      </c>
      <c r="AQ166" s="29">
        <v>1368</v>
      </c>
      <c r="AS166" s="85">
        <f t="shared" si="7"/>
        <v>0</v>
      </c>
      <c r="AT166" s="85">
        <f>IF(AS166=0,0,(IF(AS166=H10,IF(AS166*AM166&gt;AK166,"по объёму","МИН"),IF(AS166*AL166&gt;AK166,"по весу","МИН"))))</f>
        <v>0</v>
      </c>
      <c r="AV166" s="85">
        <f>IF(F10*AP166&gt;H10*AQ166,F10,H10)</f>
        <v>0</v>
      </c>
      <c r="AW166" s="93">
        <f>IF(AV166=0,0,IF(AV166=H10,IF(AV166*AQ166&gt;AO166,"по объёму","МИН"),IF(AV166=F10,IF(AV166*AP166&gt;AO166,"по весу","МИН"))))</f>
        <v>0</v>
      </c>
    </row>
    <row r="167" spans="13:50" ht="15" hidden="1">
      <c r="M167" s="171" t="s">
        <v>69</v>
      </c>
      <c r="N167" s="180" t="s">
        <v>240</v>
      </c>
      <c r="O167" s="178" t="s">
        <v>22</v>
      </c>
      <c r="P167" s="178">
        <v>20</v>
      </c>
      <c r="Q167" s="177">
        <f t="shared" si="1"/>
        <v>1400</v>
      </c>
      <c r="R167" s="178">
        <v>70</v>
      </c>
      <c r="S167" s="178">
        <v>70</v>
      </c>
      <c r="T167" s="178">
        <v>70</v>
      </c>
      <c r="U167" s="178">
        <v>70</v>
      </c>
      <c r="V167" s="183">
        <v>68</v>
      </c>
      <c r="W167" s="134">
        <f t="shared" si="3"/>
        <v>70</v>
      </c>
      <c r="X167" s="96">
        <f>IF(D128=0,0,ROUNDUP(IF(IF((167*H10)&lt;F10,F10,(167*H10))&lt;P167,P167,IF((167*H10)&lt;F10,F10,(167*H10))),0))</f>
        <v>0</v>
      </c>
      <c r="Z167" s="85">
        <f>IF(C119=1,ROUND(AC167,0),IF(C119=2,ROUND(AD167,0),ROUND(AE167,0)))</f>
        <v>0</v>
      </c>
      <c r="AA167" s="68">
        <v>41</v>
      </c>
      <c r="AB167" t="s">
        <v>74</v>
      </c>
      <c r="AC167" s="85">
        <f aca="true" t="shared" si="11" ref="AC167:AC181">IF(X174&lt;51,X174*R174,IF(X174&lt;101,X174*S174,IF(X174&lt;301,X174*T174,IF(X174&lt;501,X174*U174,X174*V174))))</f>
        <v>0</v>
      </c>
      <c r="AD167" s="92">
        <v>1</v>
      </c>
      <c r="AE167" s="92">
        <v>1</v>
      </c>
      <c r="AI167" s="32" t="s">
        <v>99</v>
      </c>
      <c r="AJ167" s="33" t="s">
        <v>150</v>
      </c>
      <c r="AK167" s="27">
        <v>750</v>
      </c>
      <c r="AL167" s="37">
        <v>12.35</v>
      </c>
      <c r="AM167" s="29">
        <v>2277</v>
      </c>
      <c r="AN167" s="33" t="s">
        <v>128</v>
      </c>
      <c r="AO167" s="35" t="s">
        <v>128</v>
      </c>
      <c r="AP167" s="35" t="s">
        <v>128</v>
      </c>
      <c r="AQ167" s="29" t="s">
        <v>128</v>
      </c>
      <c r="AS167" s="85">
        <f t="shared" si="7"/>
        <v>0</v>
      </c>
      <c r="AT167" s="85">
        <f>IF(AS167=0,0,(IF(AS167=H10,IF(AS167*AM167&gt;AK167,"по объёму","МИН"),IF(AS167*AL167&gt;AK167,"по весу","МИН"))))</f>
        <v>0</v>
      </c>
      <c r="AV167" s="85"/>
      <c r="AW167" s="93"/>
      <c r="AX167" s="85"/>
    </row>
    <row r="168" spans="13:50" ht="15" hidden="1">
      <c r="M168" s="240" t="s">
        <v>70</v>
      </c>
      <c r="N168" s="170" t="s">
        <v>27</v>
      </c>
      <c r="O168" s="27" t="s">
        <v>28</v>
      </c>
      <c r="P168" s="27">
        <v>30</v>
      </c>
      <c r="Q168" s="28">
        <f t="shared" si="1"/>
        <v>2880</v>
      </c>
      <c r="R168" s="27">
        <v>96</v>
      </c>
      <c r="S168" s="27">
        <f aca="true" t="shared" si="12" ref="S168:V171">R168</f>
        <v>96</v>
      </c>
      <c r="T168" s="27">
        <f t="shared" si="12"/>
        <v>96</v>
      </c>
      <c r="U168" s="27">
        <f t="shared" si="12"/>
        <v>96</v>
      </c>
      <c r="V168" s="77">
        <f t="shared" si="12"/>
        <v>96</v>
      </c>
      <c r="W168" s="134">
        <f t="shared" si="3"/>
        <v>96</v>
      </c>
      <c r="X168" s="96">
        <f>IF(D128=0,0,ROUNDUP(IF(IF((167*H10)&lt;F10,F10,(167*H10))&lt;P168,P168,IF((167*H10)&lt;F10,F10,(167*H10))),0))</f>
        <v>0</v>
      </c>
      <c r="Y168" s="85">
        <f>IF(X168&lt;51,X168*R168,IF(X168&lt;101,X168*S168,IF(X168&lt;301,X168*T168,IF(X168&lt;501,X168*U168,X168*V168))))</f>
        <v>0</v>
      </c>
      <c r="Z168" s="85">
        <f>IF(C119=1,ROUND(AC168,0),IF(C119=2,ROUND(AD168,0),ROUND(AE168,0)))</f>
        <v>0</v>
      </c>
      <c r="AA168" s="68">
        <v>42</v>
      </c>
      <c r="AB168" t="s">
        <v>75</v>
      </c>
      <c r="AC168" s="85">
        <f t="shared" si="11"/>
        <v>0</v>
      </c>
      <c r="AD168" s="85">
        <f>IF(AT152="МИН",AK152,IF(AT152="по весу",AS152*AL152,AS152*AM152))</f>
        <v>0</v>
      </c>
      <c r="AE168" s="91">
        <f>IF(AW152="МИН",AO152,IF(AW152="по весу",AV152*AP152,AV152*AQ152))</f>
        <v>0</v>
      </c>
      <c r="AF168" s="133">
        <f>IF(C119=2,AT152,IF(C119=1,"",AW152))</f>
      </c>
      <c r="AG168" s="146">
        <f>IF(C119=2,IF(AT152="по весу",AL152,IF(AT152="мин",AK152,AM152)),IF(AW152="по весу",AP152,IF(AW152="мин",AO152,AQ152)))</f>
        <v>1176</v>
      </c>
      <c r="AH168" s="137" t="str">
        <f>IF(C119=2,AJ152,AN152)</f>
        <v>2-3</v>
      </c>
      <c r="AI168" s="174" t="s">
        <v>101</v>
      </c>
      <c r="AJ168" s="33" t="s">
        <v>258</v>
      </c>
      <c r="AK168" s="27">
        <v>750</v>
      </c>
      <c r="AL168" s="37">
        <v>10.51</v>
      </c>
      <c r="AM168" s="29">
        <v>1769</v>
      </c>
      <c r="AN168" s="33" t="s">
        <v>128</v>
      </c>
      <c r="AO168" s="35" t="s">
        <v>128</v>
      </c>
      <c r="AP168" s="35" t="s">
        <v>128</v>
      </c>
      <c r="AQ168" s="29" t="s">
        <v>128</v>
      </c>
      <c r="AS168" s="85">
        <f t="shared" si="7"/>
        <v>0</v>
      </c>
      <c r="AT168" s="85">
        <f>IF(AS168=0,0,(IF(AS168=H10,IF(AS168*AM168&gt;AK168,"по объёму","МИН"),IF(AS168*AL168&gt;AK168,"по весу","МИН"))))</f>
        <v>0</v>
      </c>
      <c r="AV168" s="85"/>
      <c r="AW168" s="93"/>
      <c r="AX168" s="85"/>
    </row>
    <row r="169" spans="13:49" ht="15" hidden="1">
      <c r="M169" s="240"/>
      <c r="N169" s="180" t="s">
        <v>27</v>
      </c>
      <c r="O169" s="178" t="s">
        <v>28</v>
      </c>
      <c r="P169" s="178">
        <v>30</v>
      </c>
      <c r="Q169" s="177">
        <f t="shared" si="1"/>
        <v>3600</v>
      </c>
      <c r="R169" s="181">
        <v>120</v>
      </c>
      <c r="S169" s="181">
        <f aca="true" t="shared" si="13" ref="S169:V170">R169</f>
        <v>120</v>
      </c>
      <c r="T169" s="181">
        <f t="shared" si="13"/>
        <v>120</v>
      </c>
      <c r="U169" s="181">
        <f t="shared" si="13"/>
        <v>120</v>
      </c>
      <c r="V169" s="182">
        <f t="shared" si="13"/>
        <v>120</v>
      </c>
      <c r="W169" s="134">
        <f t="shared" si="3"/>
        <v>120</v>
      </c>
      <c r="X169" s="96">
        <f>IF(D128=0,0,ROUNDUP(IF(IF((167*H10)&lt;F10,F10,(167*H10))&lt;P169,P169,IF((167*H10)&lt;F10,F10,(167*H10))),0))</f>
        <v>0</v>
      </c>
      <c r="Z169" s="85">
        <f>IF(C119=1,ROUND(AC169,0),IF(C119=2,ROUND(AD169,0),ROUND(AE169,0)))</f>
        <v>0</v>
      </c>
      <c r="AA169" s="68">
        <v>43</v>
      </c>
      <c r="AB169" t="s">
        <v>76</v>
      </c>
      <c r="AC169" s="85">
        <f t="shared" si="11"/>
        <v>0</v>
      </c>
      <c r="AD169" s="85">
        <f>IF(AT153="МИН",AK153,IF(AT153="по весу",AS153*AL153,AS153*AM153))</f>
        <v>0</v>
      </c>
      <c r="AE169" s="91">
        <f>IF(AW153="МИН",AO153,IF(AW153="по весу",AV153*AP153,AV153*AQ153))</f>
        <v>0</v>
      </c>
      <c r="AF169" s="133">
        <f>IF(C119=2,AT153,IF(C119=1,"",AW153))</f>
      </c>
      <c r="AG169" s="146">
        <f>IF(C119=2,IF(AT153="по весу",AL153,IF(AT153="мин",AK153,AM153)),IF(AW153="по весу",AP153,IF(AW153="мин",AO153,AQ153)))</f>
        <v>2150</v>
      </c>
      <c r="AH169" s="137" t="str">
        <f>IF(C119=2,AJ153,AN153)</f>
        <v>8-9</v>
      </c>
      <c r="AI169" s="32" t="s">
        <v>103</v>
      </c>
      <c r="AJ169" s="33" t="s">
        <v>150</v>
      </c>
      <c r="AK169" s="27">
        <v>1000</v>
      </c>
      <c r="AL169" s="34">
        <v>19.5</v>
      </c>
      <c r="AM169" s="29">
        <v>4200</v>
      </c>
      <c r="AN169" s="33" t="s">
        <v>153</v>
      </c>
      <c r="AO169" s="27">
        <v>900</v>
      </c>
      <c r="AP169" s="37">
        <v>10.1</v>
      </c>
      <c r="AQ169" s="29">
        <v>2363</v>
      </c>
      <c r="AS169" s="85">
        <f t="shared" si="7"/>
        <v>0</v>
      </c>
      <c r="AT169" s="85">
        <f>IF(AS169=0,0,(IF(AS169=H10,IF(AS169*AM169&gt;AK169,"по объёму","МИН"),IF(AS169*AL169&gt;AK169,"по весу","МИН"))))</f>
        <v>0</v>
      </c>
      <c r="AV169" s="85">
        <f>IF(F10*AP169&gt;H10*AQ169,F10,H10)</f>
        <v>0</v>
      </c>
      <c r="AW169" s="93">
        <f>IF(AV169=0,0,IF(AV169=H10,IF(AV169*AQ169&gt;AO169,"по объёму","МИН"),IF(AV169=F10,IF(AV169*AP169&gt;AO169,"по весу","МИН"))))</f>
        <v>0</v>
      </c>
    </row>
    <row r="170" spans="13:50" ht="15" hidden="1">
      <c r="M170" s="240" t="s">
        <v>71</v>
      </c>
      <c r="N170" s="212" t="s">
        <v>72</v>
      </c>
      <c r="O170" s="27" t="s">
        <v>19</v>
      </c>
      <c r="P170" s="27">
        <v>40</v>
      </c>
      <c r="Q170" s="28">
        <f t="shared" si="1"/>
        <v>5000</v>
      </c>
      <c r="R170" s="196">
        <v>125</v>
      </c>
      <c r="S170" s="196">
        <f t="shared" si="13"/>
        <v>125</v>
      </c>
      <c r="T170" s="196">
        <f t="shared" si="13"/>
        <v>125</v>
      </c>
      <c r="U170" s="196">
        <f t="shared" si="13"/>
        <v>125</v>
      </c>
      <c r="V170" s="199">
        <f t="shared" si="13"/>
        <v>125</v>
      </c>
      <c r="W170" s="134">
        <f t="shared" si="3"/>
        <v>125</v>
      </c>
      <c r="X170" s="96">
        <f>IF(D128=0,0,ROUNDUP(IF(IF((167*H10)&lt;F10,F10,(167*H10))&lt;P170,P170,IF((167*H10)&lt;F10,F10,(167*H10))),0))</f>
        <v>0</v>
      </c>
      <c r="Y170" s="85">
        <f>IF(X170&lt;51,X170*R170,IF(X170&lt;101,X170*S170,IF(X170&lt;301,X170*T170,IF(X170&lt;501,X170*U170,X170*V170))))</f>
        <v>0</v>
      </c>
      <c r="Z170" s="85">
        <f>IF(C119=1,ROUND(AC170,0),IF(C119=2,ROUND(AD170,0),ROUND(AE170,0)))</f>
        <v>0</v>
      </c>
      <c r="AA170" s="68">
        <v>44</v>
      </c>
      <c r="AB170" t="s">
        <v>77</v>
      </c>
      <c r="AC170" s="85">
        <f t="shared" si="11"/>
        <v>0</v>
      </c>
      <c r="AD170" s="85">
        <f>IF(AT154="МИН",AK154,IF(AT154="по весу",AS154*AL154,AS154*AM154))</f>
        <v>0</v>
      </c>
      <c r="AE170" s="91">
        <f>IF(AW154="МИН",AO154,IF(AW154="по весу",AV154*AP154,AV154*AQ154))</f>
        <v>0</v>
      </c>
      <c r="AF170" s="133">
        <f>IF(C119=2,AT154,IF(C119=1,"",AW154))</f>
      </c>
      <c r="AG170" s="146">
        <f>IF(C119=2,IF(AT154="по весу",AL154,IF(AT154="мин",AK154,AM154)),IF(AW154="по весу",AP154,IF(AW154="мин",AO154,AQ154)))</f>
        <v>3350</v>
      </c>
      <c r="AH170" s="137" t="str">
        <f>IF(C119=2,AJ154,AN154)</f>
        <v>7-8</v>
      </c>
      <c r="AI170" s="32" t="s">
        <v>104</v>
      </c>
      <c r="AJ170" s="33" t="s">
        <v>263</v>
      </c>
      <c r="AK170" s="27">
        <v>750</v>
      </c>
      <c r="AL170" s="34">
        <v>11.28</v>
      </c>
      <c r="AM170" s="29">
        <v>1981</v>
      </c>
      <c r="AN170" s="33" t="s">
        <v>128</v>
      </c>
      <c r="AO170" s="35" t="s">
        <v>128</v>
      </c>
      <c r="AP170" s="35" t="s">
        <v>128</v>
      </c>
      <c r="AQ170" s="29" t="s">
        <v>128</v>
      </c>
      <c r="AS170" s="85">
        <f t="shared" si="7"/>
        <v>0</v>
      </c>
      <c r="AT170" s="85">
        <f>IF(AS170=0,0,(IF(AS170=H10,IF(AS170*AM170&gt;AK170,"по объёму","МИН"),IF(AS170*AL170&gt;AK170,"по весу","МИН"))))</f>
        <v>0</v>
      </c>
      <c r="AV170" s="85"/>
      <c r="AW170" s="93"/>
      <c r="AX170" s="85"/>
    </row>
    <row r="171" spans="13:50" ht="15" hidden="1">
      <c r="M171" s="240"/>
      <c r="N171" s="180" t="s">
        <v>23</v>
      </c>
      <c r="O171" s="178" t="s">
        <v>22</v>
      </c>
      <c r="P171" s="178">
        <v>30</v>
      </c>
      <c r="Q171" s="177">
        <f t="shared" si="1"/>
        <v>4500</v>
      </c>
      <c r="R171" s="181">
        <v>150</v>
      </c>
      <c r="S171" s="181">
        <f t="shared" si="12"/>
        <v>150</v>
      </c>
      <c r="T171" s="181">
        <f t="shared" si="12"/>
        <v>150</v>
      </c>
      <c r="U171" s="181">
        <f t="shared" si="12"/>
        <v>150</v>
      </c>
      <c r="V171" s="182">
        <f t="shared" si="12"/>
        <v>150</v>
      </c>
      <c r="W171" s="134">
        <f t="shared" si="3"/>
        <v>150</v>
      </c>
      <c r="X171" s="96">
        <f>IF(D128=0,0,ROUNDUP(IF(IF((167*H10)&lt;F10,F10,(167*H10))&lt;P171,P171,IF((167*H10)&lt;F10,F10,(167*H10))),0))</f>
        <v>0</v>
      </c>
      <c r="Z171" s="85">
        <f>IF(C119=1,ROUND(AC171,0),IF(C119=2,ROUND(AD171,0),ROUND(AE171,0)))</f>
        <v>0</v>
      </c>
      <c r="AA171" s="68">
        <v>45</v>
      </c>
      <c r="AB171" t="s">
        <v>78</v>
      </c>
      <c r="AC171" s="85">
        <f t="shared" si="11"/>
        <v>0</v>
      </c>
      <c r="AD171" s="85">
        <f>IF(AT155="МИН",AK155,IF(AT155="по весу",AS155*AL155,AS155*AM155))</f>
        <v>0</v>
      </c>
      <c r="AE171" s="92">
        <v>1</v>
      </c>
      <c r="AF171" s="133">
        <f>IF(C119=2,AT155,IF(C119=1,"",AW155))</f>
      </c>
      <c r="AG171" s="146" t="str">
        <f>IF(C119=2,IF(AT155="по весу",AL155,IF(AT155="мин",AK155,AM155)),IF(AW155="по весу",AP155,IF(AW155="мин",AO155,AQ155)))</f>
        <v>------</v>
      </c>
      <c r="AH171" s="137" t="str">
        <f>IF(C119=2,AJ155,AN155)</f>
        <v>------</v>
      </c>
      <c r="AI171" s="32" t="s">
        <v>156</v>
      </c>
      <c r="AJ171" s="33" t="s">
        <v>144</v>
      </c>
      <c r="AK171" s="27" t="s">
        <v>241</v>
      </c>
      <c r="AL171" s="34" t="s">
        <v>241</v>
      </c>
      <c r="AM171" s="29" t="s">
        <v>241</v>
      </c>
      <c r="AN171" s="33" t="s">
        <v>128</v>
      </c>
      <c r="AO171" s="35" t="s">
        <v>128</v>
      </c>
      <c r="AP171" s="35" t="s">
        <v>128</v>
      </c>
      <c r="AQ171" s="29" t="s">
        <v>128</v>
      </c>
      <c r="AS171" s="85">
        <f t="shared" si="7"/>
        <v>0</v>
      </c>
      <c r="AT171" s="85">
        <f>IF(AS171=0,0,(IF(AS171=H10,IF(AS171*AM171&gt;AK171,"по объёму","МИН"),IF(AS171*AL171&gt;AK171,"по весу","МИН"))))</f>
        <v>0</v>
      </c>
      <c r="AV171" s="85"/>
      <c r="AW171" s="93"/>
      <c r="AX171" s="85"/>
    </row>
    <row r="172" spans="13:50" ht="15" hidden="1">
      <c r="M172" s="240" t="s">
        <v>73</v>
      </c>
      <c r="N172" s="180" t="s">
        <v>25</v>
      </c>
      <c r="O172" s="178" t="s">
        <v>22</v>
      </c>
      <c r="P172" s="178">
        <v>20</v>
      </c>
      <c r="Q172" s="177">
        <f t="shared" si="1"/>
        <v>1320</v>
      </c>
      <c r="R172" s="27">
        <v>66</v>
      </c>
      <c r="S172" s="27">
        <v>65</v>
      </c>
      <c r="T172" s="27">
        <v>64</v>
      </c>
      <c r="U172" s="27">
        <v>63</v>
      </c>
      <c r="V172" s="77">
        <v>62</v>
      </c>
      <c r="W172" s="134">
        <f t="shared" si="3"/>
        <v>66</v>
      </c>
      <c r="X172" s="96">
        <f>IF(D128=0,0,ROUNDUP(IF(IF((167*H10)&lt;F10,F10,(167*H10))&lt;P172,P172,IF((167*H10)&lt;F10,F10,(167*H10))),0))</f>
        <v>0</v>
      </c>
      <c r="Z172" s="85">
        <f>IF(C119=1,ROUND(AC172,0),IF(C119=2,ROUND(AD172,0),ROUND(AE172,0)))</f>
        <v>0</v>
      </c>
      <c r="AA172" s="68">
        <v>46</v>
      </c>
      <c r="AB172" t="s">
        <v>79</v>
      </c>
      <c r="AC172" s="85">
        <f t="shared" si="11"/>
        <v>0</v>
      </c>
      <c r="AD172" s="85">
        <f>IF(AT156="МИН",AK156,IF(AT156="по весу",AS156*AL156,AS156*AM156))</f>
        <v>0</v>
      </c>
      <c r="AE172" s="92">
        <v>1</v>
      </c>
      <c r="AF172" s="133">
        <f>IF(C119=2,AT156,IF(C119=1,"",AW156))</f>
      </c>
      <c r="AG172" s="146" t="str">
        <f>IF(C119=2,IF(AT156="по весу",AL156,IF(AT156="мин",AK156,AM156)),IF(AW156="по весу",AP156,IF(AW156="мин",AO156,AQ156)))</f>
        <v>------</v>
      </c>
      <c r="AH172" s="137" t="str">
        <f>IF(C119=2,AJ156,AN156)</f>
        <v>------</v>
      </c>
      <c r="AI172" s="32" t="s">
        <v>157</v>
      </c>
      <c r="AJ172" s="33" t="s">
        <v>262</v>
      </c>
      <c r="AK172" s="27">
        <v>750</v>
      </c>
      <c r="AL172" s="34">
        <v>10.059999999999999</v>
      </c>
      <c r="AM172" s="29">
        <v>1645</v>
      </c>
      <c r="AN172" s="33" t="s">
        <v>128</v>
      </c>
      <c r="AO172" s="35" t="s">
        <v>128</v>
      </c>
      <c r="AP172" s="35" t="s">
        <v>128</v>
      </c>
      <c r="AQ172" s="29" t="s">
        <v>128</v>
      </c>
      <c r="AS172" s="85">
        <f t="shared" si="7"/>
        <v>0</v>
      </c>
      <c r="AT172" s="85">
        <f>IF(AS172=0,0,(IF(AS172=H10,IF(AS172*AM172&gt;AK172,"по объёму","МИН"),IF(AS172*AL172&gt;AK172,"по весу","МИН"))))</f>
        <v>0</v>
      </c>
      <c r="AV172" s="85"/>
      <c r="AW172" s="93"/>
      <c r="AX172" s="85"/>
    </row>
    <row r="173" spans="13:49" ht="15" hidden="1">
      <c r="M173" s="240"/>
      <c r="N173" s="180" t="s">
        <v>61</v>
      </c>
      <c r="O173" s="178" t="s">
        <v>19</v>
      </c>
      <c r="P173" s="178">
        <v>20</v>
      </c>
      <c r="Q173" s="177">
        <f t="shared" si="1"/>
        <v>1380</v>
      </c>
      <c r="R173" s="178">
        <v>69</v>
      </c>
      <c r="S173" s="178">
        <v>68</v>
      </c>
      <c r="T173" s="178">
        <v>68</v>
      </c>
      <c r="U173" s="178">
        <v>65</v>
      </c>
      <c r="V173" s="183">
        <v>65</v>
      </c>
      <c r="W173" s="134">
        <f t="shared" si="3"/>
        <v>69</v>
      </c>
      <c r="X173" s="96">
        <f>IF(D128=0,0,ROUNDUP(IF(IF((167*H10)&lt;F10,F10,(167*H10))&lt;P173,P173,IF((167*H10)&lt;F10,F10,(167*H10))),0))</f>
        <v>0</v>
      </c>
      <c r="Y173" s="85">
        <f>IF(X173&lt;51,X173*R173,IF(X173&lt;101,X173*S173,IF(X173&lt;301,X173*T173,IF(X173&lt;501,X173*U173,X173*V173))))</f>
        <v>0</v>
      </c>
      <c r="Z173" s="85">
        <f>IF(C119=1,ROUND(AC173,0),IF(C119=2,ROUND(AD173,0),ROUND(AE173,0)))</f>
        <v>0</v>
      </c>
      <c r="AA173" s="68">
        <v>47</v>
      </c>
      <c r="AB173" t="s">
        <v>80</v>
      </c>
      <c r="AC173" s="85">
        <f t="shared" si="11"/>
        <v>0</v>
      </c>
      <c r="AD173" s="92">
        <v>1</v>
      </c>
      <c r="AE173" s="92">
        <v>1</v>
      </c>
      <c r="AI173" s="32" t="s">
        <v>244</v>
      </c>
      <c r="AJ173" s="33" t="s">
        <v>131</v>
      </c>
      <c r="AK173" s="27">
        <v>1000</v>
      </c>
      <c r="AL173" s="34">
        <v>15.01</v>
      </c>
      <c r="AM173" s="29">
        <v>3168</v>
      </c>
      <c r="AN173" s="33" t="s">
        <v>158</v>
      </c>
      <c r="AO173" s="35" t="s">
        <v>283</v>
      </c>
      <c r="AP173" s="37">
        <v>8.2</v>
      </c>
      <c r="AQ173" s="29">
        <v>2280</v>
      </c>
      <c r="AS173" s="85">
        <f t="shared" si="7"/>
        <v>0</v>
      </c>
      <c r="AT173" s="85">
        <f>IF(AS173=0,0,(IF(AS173=H10,IF(AS173*AM173&gt;AK173,"по объёму","МИН"),IF(AS173*AL173&gt;AK173,"по весу","МИН"))))</f>
        <v>0</v>
      </c>
      <c r="AV173" s="85">
        <f>IF(F10*AP173&gt;H10*AQ173,F10,H10)</f>
        <v>0</v>
      </c>
      <c r="AW173" s="93">
        <f>IF(AV173=0,0,IF(AV173=H10,IF(AV173*AQ173&gt;AO173,"по объёму","МИН"),IF(AV173=F10,IF(AV173*AP173&gt;AO173,"по весу","МИН"))))</f>
        <v>0</v>
      </c>
    </row>
    <row r="174" spans="13:50" ht="15" hidden="1">
      <c r="M174" s="211" t="s">
        <v>74</v>
      </c>
      <c r="N174" s="170" t="s">
        <v>270</v>
      </c>
      <c r="O174" s="27" t="s">
        <v>22</v>
      </c>
      <c r="P174" s="27">
        <v>30</v>
      </c>
      <c r="Q174" s="28">
        <f t="shared" si="1"/>
        <v>1560</v>
      </c>
      <c r="R174" s="27">
        <v>52</v>
      </c>
      <c r="S174" s="27">
        <v>52</v>
      </c>
      <c r="T174" s="27">
        <v>50</v>
      </c>
      <c r="U174" s="27">
        <v>50</v>
      </c>
      <c r="V174" s="77">
        <v>50</v>
      </c>
      <c r="W174" s="134">
        <f t="shared" si="3"/>
        <v>52</v>
      </c>
      <c r="X174" s="96">
        <f>IF(D128=0,0,ROUNDUP(IF(IF((167*H10)&lt;F10,F10,(167*H10))&lt;P174,P174,IF((167*H10)&lt;F10,F10,(167*H10))),0))</f>
        <v>0</v>
      </c>
      <c r="Z174" s="85">
        <f>IF(C119=1,ROUND(AC174,0),IF(C119=2,ROUND(AD174,0),ROUND(AE174,0)))</f>
        <v>0</v>
      </c>
      <c r="AA174" s="68">
        <v>48</v>
      </c>
      <c r="AB174" t="s">
        <v>81</v>
      </c>
      <c r="AC174" s="85">
        <f t="shared" si="11"/>
        <v>0</v>
      </c>
      <c r="AD174" s="92">
        <v>1</v>
      </c>
      <c r="AE174" s="92">
        <v>1</v>
      </c>
      <c r="AI174" s="32" t="s">
        <v>159</v>
      </c>
      <c r="AJ174" s="33" t="s">
        <v>155</v>
      </c>
      <c r="AK174" s="27">
        <v>750</v>
      </c>
      <c r="AL174" s="34">
        <v>8.989999999999998</v>
      </c>
      <c r="AM174" s="29">
        <v>1350</v>
      </c>
      <c r="AN174" s="33" t="s">
        <v>128</v>
      </c>
      <c r="AO174" s="35" t="s">
        <v>128</v>
      </c>
      <c r="AP174" s="35" t="s">
        <v>128</v>
      </c>
      <c r="AQ174" s="29" t="s">
        <v>128</v>
      </c>
      <c r="AS174" s="85">
        <f t="shared" si="7"/>
        <v>0</v>
      </c>
      <c r="AT174" s="85">
        <f>IF(AS174=0,0,(IF(AS174=H10,IF(AS174*AM174&gt;AK174,"по объёму","МИН"),IF(AS174*AL174&gt;AK174,"по весу","МИН"))))</f>
        <v>0</v>
      </c>
      <c r="AV174" s="85"/>
      <c r="AW174" s="93"/>
      <c r="AX174" s="85"/>
    </row>
    <row r="175" spans="13:50" ht="15" hidden="1">
      <c r="M175" s="171" t="s">
        <v>75</v>
      </c>
      <c r="N175" s="180" t="s">
        <v>25</v>
      </c>
      <c r="O175" s="178" t="s">
        <v>22</v>
      </c>
      <c r="P175" s="178">
        <v>20</v>
      </c>
      <c r="Q175" s="177">
        <f t="shared" si="1"/>
        <v>720</v>
      </c>
      <c r="R175" s="178">
        <v>36</v>
      </c>
      <c r="S175" s="178">
        <v>36</v>
      </c>
      <c r="T175" s="178">
        <v>35</v>
      </c>
      <c r="U175" s="178">
        <v>34</v>
      </c>
      <c r="V175" s="183">
        <v>34</v>
      </c>
      <c r="W175" s="134">
        <f t="shared" si="3"/>
        <v>36</v>
      </c>
      <c r="X175" s="96">
        <f>IF(D128=0,0,ROUNDUP(IF(IF((167*H10)&lt;F10,F10,(167*H10))&lt;P175,P175,IF((167*H10)&lt;F10,F10,(167*H10))),0))</f>
        <v>0</v>
      </c>
      <c r="Z175" s="85">
        <f>IF(C119=1,ROUND(AC175,0),IF(C119=2,ROUND(AD175,0),ROUND(AE175,0)))</f>
        <v>0</v>
      </c>
      <c r="AA175" s="68">
        <v>49</v>
      </c>
      <c r="AB175" t="s">
        <v>82</v>
      </c>
      <c r="AC175" s="85">
        <f t="shared" si="11"/>
        <v>0</v>
      </c>
      <c r="AD175" s="85">
        <f>IF(AT157="МИН",AK157,IF(AT157="по весу",AS157*AL157,AS157*AM157))</f>
        <v>0</v>
      </c>
      <c r="AE175" s="91">
        <f>IF(AW157="МИН",AO157,IF(AW157="по весу",AV157*AP157,AV157*AQ157))</f>
        <v>0</v>
      </c>
      <c r="AF175" s="133">
        <f>IF(C119=2,AT157,IF(C119=1,"",AW157))</f>
      </c>
      <c r="AG175" s="146">
        <f>IF(C119=2,IF(AT157="по весу",AL157,IF(AT157="мин",AK157,AM157)),IF(AW157="по весу",AP157,IF(AW157="мин",AO157,AQ157)))</f>
        <v>1900</v>
      </c>
      <c r="AH175" s="137" t="str">
        <f>IF(C119=2,AJ157,AN157)</f>
        <v>6-7</v>
      </c>
      <c r="AI175" s="32" t="s">
        <v>107</v>
      </c>
      <c r="AJ175" s="33" t="s">
        <v>150</v>
      </c>
      <c r="AK175" s="36">
        <v>900</v>
      </c>
      <c r="AL175" s="34">
        <v>13.69</v>
      </c>
      <c r="AM175" s="29">
        <v>2748</v>
      </c>
      <c r="AN175" s="33" t="s">
        <v>128</v>
      </c>
      <c r="AO175" s="35" t="s">
        <v>128</v>
      </c>
      <c r="AP175" s="35" t="s">
        <v>128</v>
      </c>
      <c r="AQ175" s="29" t="s">
        <v>128</v>
      </c>
      <c r="AS175" s="85">
        <f t="shared" si="7"/>
        <v>0</v>
      </c>
      <c r="AT175" s="85">
        <f>IF(AS175=0,0,(IF(AS175=H10,IF(AS175*AM175&gt;AK175,"по объёму","МИН"),IF(AS175*AL175&gt;AK175,"по весу","МИН"))))</f>
        <v>0</v>
      </c>
      <c r="AV175" s="85"/>
      <c r="AW175" s="93"/>
      <c r="AX175" s="85"/>
    </row>
    <row r="176" spans="13:50" ht="15" hidden="1">
      <c r="M176" s="171" t="s">
        <v>76</v>
      </c>
      <c r="N176" s="180" t="s">
        <v>268</v>
      </c>
      <c r="O176" s="178" t="s">
        <v>22</v>
      </c>
      <c r="P176" s="178">
        <v>20</v>
      </c>
      <c r="Q176" s="177">
        <f t="shared" si="1"/>
        <v>1300</v>
      </c>
      <c r="R176" s="27">
        <v>65</v>
      </c>
      <c r="S176" s="27">
        <v>64</v>
      </c>
      <c r="T176" s="27">
        <v>64</v>
      </c>
      <c r="U176" s="27">
        <v>64</v>
      </c>
      <c r="V176" s="77">
        <v>62</v>
      </c>
      <c r="W176" s="134">
        <f t="shared" si="3"/>
        <v>65</v>
      </c>
      <c r="X176" s="96">
        <f>IF(D128=0,0,ROUNDUP(IF(IF((167*H10)&lt;F10,F10,(167*H10))&lt;P176,P176,IF((167*H10)&lt;F10,F10,(167*H10))),0))</f>
        <v>0</v>
      </c>
      <c r="Z176" s="85">
        <f>IF(C119=1,ROUND(AC176,0),IF(C119=2,ROUND(AD176,0),ROUND(AE176,0)))</f>
        <v>0</v>
      </c>
      <c r="AA176" s="68">
        <v>50</v>
      </c>
      <c r="AB176" t="s">
        <v>83</v>
      </c>
      <c r="AC176" s="85">
        <f t="shared" si="11"/>
        <v>0</v>
      </c>
      <c r="AD176" s="85">
        <f>IF(AT158="МИН",AK158,IF(AT158="по весу",AS158*AL158,AS158*AM158))</f>
        <v>0</v>
      </c>
      <c r="AE176" s="92">
        <v>1</v>
      </c>
      <c r="AF176" s="133">
        <f>IF(C119=2,AT158,IF(C119=1,"",AW158))</f>
      </c>
      <c r="AG176" s="146" t="str">
        <f>IF(C119=2,IF(AT158="по весу",AL158,IF(AT158="мин",AK158,AM158)),IF(AW158="по весу",AP158,IF(AW158="мин",AO158,AQ158)))</f>
        <v>------</v>
      </c>
      <c r="AH176" s="137" t="str">
        <f>IF(C119=2,AJ158,AN158)</f>
        <v>------</v>
      </c>
      <c r="AI176" s="32" t="s">
        <v>264</v>
      </c>
      <c r="AJ176" s="33" t="s">
        <v>140</v>
      </c>
      <c r="AK176" s="27">
        <v>1800</v>
      </c>
      <c r="AL176" s="34">
        <v>21.07</v>
      </c>
      <c r="AM176" s="29">
        <v>3544</v>
      </c>
      <c r="AN176" s="33" t="s">
        <v>128</v>
      </c>
      <c r="AO176" s="35" t="s">
        <v>128</v>
      </c>
      <c r="AP176" s="35" t="s">
        <v>128</v>
      </c>
      <c r="AQ176" s="29" t="s">
        <v>128</v>
      </c>
      <c r="AS176" s="85">
        <f t="shared" si="7"/>
        <v>0</v>
      </c>
      <c r="AT176" s="85">
        <f>IF(AS176=0,0,(IF(AS176=H10,IF(AS176*AM176&gt;AK176,"по объёму","МИН"),IF(AS176*AL176&gt;AK176,"по весу","МИН"))))</f>
        <v>0</v>
      </c>
      <c r="AV176" s="85"/>
      <c r="AW176" s="93"/>
      <c r="AX176" s="85"/>
    </row>
    <row r="177" spans="13:50" ht="15" hidden="1">
      <c r="M177" s="171" t="s">
        <v>77</v>
      </c>
      <c r="N177" s="180" t="s">
        <v>268</v>
      </c>
      <c r="O177" s="178" t="s">
        <v>22</v>
      </c>
      <c r="P177" s="178">
        <v>25</v>
      </c>
      <c r="Q177" s="177">
        <f t="shared" si="1"/>
        <v>1400</v>
      </c>
      <c r="R177" s="196">
        <v>56</v>
      </c>
      <c r="S177" s="196">
        <f>R177</f>
        <v>56</v>
      </c>
      <c r="T177" s="196">
        <f>S177</f>
        <v>56</v>
      </c>
      <c r="U177" s="196">
        <f>T177</f>
        <v>56</v>
      </c>
      <c r="V177" s="199">
        <f>U177</f>
        <v>56</v>
      </c>
      <c r="W177" s="134">
        <f t="shared" si="3"/>
        <v>56</v>
      </c>
      <c r="X177" s="96">
        <f>IF(D128=0,0,ROUNDUP(IF(IF((167*H10)&lt;F10,F10,(167*H10))&lt;P177,P177,IF((167*H10)&lt;F10,F10,(167*H10))),0))</f>
        <v>0</v>
      </c>
      <c r="Z177" s="85">
        <f>IF(C119=1,ROUND(AC177,0),IF(C119=2,ROUND(AD177,0),ROUND(AE177,0)))</f>
        <v>0</v>
      </c>
      <c r="AA177" s="68">
        <v>51</v>
      </c>
      <c r="AB177" t="s">
        <v>85</v>
      </c>
      <c r="AC177" s="85">
        <f t="shared" si="11"/>
        <v>0</v>
      </c>
      <c r="AD177" s="85">
        <f>IF(AT159="МИН",AK159,IF(AT159="по весу",AS159*AL159,AS159*AM159))</f>
        <v>0</v>
      </c>
      <c r="AE177" s="92">
        <v>1</v>
      </c>
      <c r="AF177" s="133">
        <f>IF(C119=2,AT159,IF(C119=1,"",AW159))</f>
      </c>
      <c r="AG177" s="146" t="str">
        <f>IF(C119=2,IF(AT159="по весу",AL159,IF(AT159="мин",AK159,AM159)),IF(AW159="по весу",AP159,IF(AW159="мин",AO159,AQ159)))</f>
        <v>------</v>
      </c>
      <c r="AH177" s="137" t="str">
        <f>IF(C119=2,AJ159,AN159)</f>
        <v>------</v>
      </c>
      <c r="AI177" s="32" t="s">
        <v>110</v>
      </c>
      <c r="AJ177" s="33" t="s">
        <v>262</v>
      </c>
      <c r="AK177" s="27">
        <v>750</v>
      </c>
      <c r="AL177" s="34">
        <v>10.69</v>
      </c>
      <c r="AM177" s="29">
        <v>1819</v>
      </c>
      <c r="AN177" s="33" t="s">
        <v>128</v>
      </c>
      <c r="AO177" s="35" t="s">
        <v>128</v>
      </c>
      <c r="AP177" s="35" t="s">
        <v>128</v>
      </c>
      <c r="AQ177" s="29" t="s">
        <v>128</v>
      </c>
      <c r="AS177" s="85">
        <f t="shared" si="7"/>
        <v>0</v>
      </c>
      <c r="AT177" s="85">
        <f>IF(AS177=0,0,(IF(AS177=H10,IF(AS177*AM177&gt;AK177,"по объёму","МИН"),IF(AS177*AL177&gt;AK177,"по весу","МИН"))))</f>
        <v>0</v>
      </c>
      <c r="AV177" s="85"/>
      <c r="AW177" s="93"/>
      <c r="AX177" s="85"/>
    </row>
    <row r="178" spans="13:49" ht="15" hidden="1">
      <c r="M178" s="171" t="s">
        <v>78</v>
      </c>
      <c r="N178" s="180" t="s">
        <v>25</v>
      </c>
      <c r="O178" s="178" t="s">
        <v>22</v>
      </c>
      <c r="P178" s="178">
        <v>20</v>
      </c>
      <c r="Q178" s="177">
        <f t="shared" si="1"/>
        <v>1160</v>
      </c>
      <c r="R178" s="178">
        <v>58</v>
      </c>
      <c r="S178" s="178">
        <v>58</v>
      </c>
      <c r="T178" s="178">
        <v>56</v>
      </c>
      <c r="U178" s="178">
        <v>56</v>
      </c>
      <c r="V178" s="183">
        <v>56</v>
      </c>
      <c r="W178" s="134">
        <f t="shared" si="3"/>
        <v>58</v>
      </c>
      <c r="X178" s="96">
        <f>IF(D128=0,0,ROUNDUP(IF(IF((167*H10)&lt;F10,F10,(167*H10))&lt;P178,P178,IF((167*H10)&lt;F10,F10,(167*H10))),0))</f>
        <v>0</v>
      </c>
      <c r="Z178" s="85">
        <f>IF(C119=1,ROUND(AC178,0),IF(C119=2,ROUND(AD178,0),ROUND(AE178,0)))</f>
        <v>0</v>
      </c>
      <c r="AA178" s="68">
        <v>52</v>
      </c>
      <c r="AB178" t="s">
        <v>86</v>
      </c>
      <c r="AC178" s="85">
        <f t="shared" si="11"/>
        <v>0</v>
      </c>
      <c r="AD178" s="85">
        <f>IF(AT160="МИН",AK160,IF(AT160="по весу",AS160*AL160,AS160*AM160))</f>
        <v>0</v>
      </c>
      <c r="AE178" s="92">
        <v>1</v>
      </c>
      <c r="AF178" s="133">
        <f>IF(C119=2,AT160,IF(C119=1,"",AW160))</f>
      </c>
      <c r="AG178" s="146" t="str">
        <f>IF(C119=2,IF(AT160="по весу",AL160,IF(AT160="мин",AK160,AM160)),IF(AW160="по весу",AP160,IF(AW160="мин",AO160,AQ160)))</f>
        <v>------</v>
      </c>
      <c r="AH178" s="137" t="str">
        <f>IF(C119=2,AJ160,AN160)</f>
        <v>------</v>
      </c>
      <c r="AI178" s="32" t="s">
        <v>112</v>
      </c>
      <c r="AJ178" s="33" t="s">
        <v>130</v>
      </c>
      <c r="AK178" s="36">
        <v>600</v>
      </c>
      <c r="AL178" s="34">
        <v>11.1</v>
      </c>
      <c r="AM178" s="29">
        <v>1700</v>
      </c>
      <c r="AN178" s="33" t="s">
        <v>130</v>
      </c>
      <c r="AO178" s="36">
        <v>600</v>
      </c>
      <c r="AP178" s="34">
        <v>11.1</v>
      </c>
      <c r="AQ178" s="29">
        <v>1700</v>
      </c>
      <c r="AS178" s="85">
        <f t="shared" si="7"/>
        <v>0</v>
      </c>
      <c r="AT178" s="85">
        <f>IF(AS178=0,0,(IF(AS178=H10,IF(AS178*AM178&gt;AK178,"по объёму","МИН"),IF(AS178*AL178&gt;AK178,"по весу","МИН"))))</f>
        <v>0</v>
      </c>
      <c r="AV178" s="85">
        <f>IF(F10*AP178&gt;H10*AQ178,F10,H10)</f>
        <v>0</v>
      </c>
      <c r="AW178" s="93">
        <f>IF(AV178=0,0,IF(AV178=H10,IF(AV178*AQ178&gt;AO178,"по объёму","МИН"),IF(AV178=F10,IF(AV178*AP178&gt;AO178,"по весу","МИН"))))</f>
        <v>0</v>
      </c>
    </row>
    <row r="179" spans="13:49" ht="15" hidden="1">
      <c r="M179" s="171" t="s">
        <v>79</v>
      </c>
      <c r="N179" s="180" t="s">
        <v>61</v>
      </c>
      <c r="O179" s="178" t="s">
        <v>19</v>
      </c>
      <c r="P179" s="178">
        <v>20</v>
      </c>
      <c r="Q179" s="177">
        <f t="shared" si="1"/>
        <v>1600</v>
      </c>
      <c r="R179" s="178">
        <v>80</v>
      </c>
      <c r="S179" s="178">
        <v>79</v>
      </c>
      <c r="T179" s="178">
        <v>79</v>
      </c>
      <c r="U179" s="178">
        <v>79</v>
      </c>
      <c r="V179" s="183">
        <v>79</v>
      </c>
      <c r="W179" s="134">
        <f t="shared" si="3"/>
        <v>80</v>
      </c>
      <c r="X179" s="96">
        <f>IF(D128=0,0,ROUNDUP(IF(IF((167*H10)&lt;F10,F10,(167*H10))&lt;P179,P179,IF((167*H10)&lt;F10,F10,(167*H10))),0))</f>
        <v>0</v>
      </c>
      <c r="Z179" s="85">
        <f>IF(C119=1,ROUND(AC179,0),IF(C119=2,ROUND(AD179,0),ROUND(AE179,0)))</f>
        <v>0</v>
      </c>
      <c r="AA179" s="68">
        <v>53</v>
      </c>
      <c r="AB179" t="s">
        <v>88</v>
      </c>
      <c r="AC179" s="85">
        <f t="shared" si="11"/>
        <v>0</v>
      </c>
      <c r="AD179" s="85">
        <f>IF(AT161="МИН",AK161,IF(AT161="по весу",AS161*AL161,AS161*AM161))</f>
        <v>0</v>
      </c>
      <c r="AE179" s="92">
        <v>1</v>
      </c>
      <c r="AF179" s="133">
        <f>IF(C119=2,AT161,IF(C119=1,"",AW161))</f>
      </c>
      <c r="AG179" s="146" t="str">
        <f>IF(C119=2,IF(AT161="по весу",AL161,IF(AT161="мин",AK161,AM161)),IF(AW161="по весу",AP161,IF(AW161="мин",AO161,AQ161)))</f>
        <v>------</v>
      </c>
      <c r="AH179" s="137" t="str">
        <f>IF(C119=2,AJ161,AN161)</f>
        <v>------</v>
      </c>
      <c r="AI179" s="32" t="s">
        <v>160</v>
      </c>
      <c r="AJ179" s="33" t="s">
        <v>158</v>
      </c>
      <c r="AK179" s="27">
        <v>1800</v>
      </c>
      <c r="AL179" s="34">
        <v>25.68</v>
      </c>
      <c r="AM179" s="29">
        <v>4760</v>
      </c>
      <c r="AN179" s="33" t="s">
        <v>161</v>
      </c>
      <c r="AO179" s="36">
        <v>600</v>
      </c>
      <c r="AP179" s="37">
        <v>15</v>
      </c>
      <c r="AQ179" s="29">
        <v>3300</v>
      </c>
      <c r="AS179" s="85">
        <f t="shared" si="7"/>
        <v>0</v>
      </c>
      <c r="AT179" s="85">
        <f>IF(AS179=0,0,(IF(AS179=H10,IF(AS179*AM179&gt;AK179,"по объёму","МИН"),IF(AS179*AL179&gt;AK179,"по весу","МИН"))))</f>
        <v>0</v>
      </c>
      <c r="AV179" s="85">
        <f>IF(F10*AP179&gt;H10*AQ179,F10,H10)</f>
        <v>0</v>
      </c>
      <c r="AW179" s="93">
        <f>IF(AV179=0,0,IF(AV179=H10,IF(AV179*AQ179&gt;AO179,"по объёму","МИН"),IF(AV179=F10,IF(AV179*AP179&gt;AO179,"по весу","МИН"))))</f>
        <v>0</v>
      </c>
    </row>
    <row r="180" spans="13:50" ht="15" hidden="1">
      <c r="M180" s="171" t="s">
        <v>80</v>
      </c>
      <c r="N180" s="180" t="s">
        <v>25</v>
      </c>
      <c r="O180" s="178" t="s">
        <v>22</v>
      </c>
      <c r="P180" s="178">
        <v>20</v>
      </c>
      <c r="Q180" s="177">
        <f t="shared" si="1"/>
        <v>1460</v>
      </c>
      <c r="R180" s="196">
        <v>73</v>
      </c>
      <c r="S180" s="196">
        <f>R180</f>
        <v>73</v>
      </c>
      <c r="T180" s="196">
        <f>S180</f>
        <v>73</v>
      </c>
      <c r="U180" s="196">
        <f>T180</f>
        <v>73</v>
      </c>
      <c r="V180" s="199">
        <f>U180</f>
        <v>73</v>
      </c>
      <c r="W180" s="134">
        <f t="shared" si="3"/>
        <v>73</v>
      </c>
      <c r="X180" s="96">
        <f>IF(D128=0,0,ROUNDUP(IF(IF((167*H10)&lt;F10,F10,(167*H10))&lt;P180,P180,IF((167*H10)&lt;F10,F10,(167*H10))),0))</f>
        <v>0</v>
      </c>
      <c r="Z180" s="85">
        <f>IF(C119=1,ROUND(AC180,0),IF(C119=2,ROUND(AD180,0),ROUND(AE180,0)))</f>
        <v>0</v>
      </c>
      <c r="AA180" s="68">
        <v>54</v>
      </c>
      <c r="AB180" t="s">
        <v>89</v>
      </c>
      <c r="AC180" s="85">
        <f t="shared" si="11"/>
        <v>0</v>
      </c>
      <c r="AD180" s="92">
        <v>1</v>
      </c>
      <c r="AE180" s="92">
        <v>1</v>
      </c>
      <c r="AI180" s="32" t="s">
        <v>116</v>
      </c>
      <c r="AJ180" s="33" t="s">
        <v>265</v>
      </c>
      <c r="AK180" s="27">
        <v>1200</v>
      </c>
      <c r="AL180" s="34">
        <v>22.08</v>
      </c>
      <c r="AM180" s="29">
        <v>4845</v>
      </c>
      <c r="AN180" s="33" t="s">
        <v>128</v>
      </c>
      <c r="AO180" s="35" t="s">
        <v>128</v>
      </c>
      <c r="AP180" s="35" t="s">
        <v>128</v>
      </c>
      <c r="AQ180" s="29" t="s">
        <v>128</v>
      </c>
      <c r="AS180" s="85">
        <f t="shared" si="7"/>
        <v>0</v>
      </c>
      <c r="AT180" s="85">
        <f>IF(AS180=0,0,(IF(AS180=H10,IF(AS180*AM180&gt;AK180,"по объёму","МИН"),IF(AS180*AL180&gt;AK180,"по весу","МИН"))))</f>
        <v>0</v>
      </c>
      <c r="AV180" s="85"/>
      <c r="AW180" s="93"/>
      <c r="AX180" s="85"/>
    </row>
    <row r="181" spans="13:49" ht="15" hidden="1">
      <c r="M181" s="171" t="s">
        <v>81</v>
      </c>
      <c r="N181" s="180" t="s">
        <v>61</v>
      </c>
      <c r="O181" s="178" t="s">
        <v>19</v>
      </c>
      <c r="P181" s="178">
        <v>20</v>
      </c>
      <c r="Q181" s="177">
        <f t="shared" si="1"/>
        <v>2080</v>
      </c>
      <c r="R181" s="178">
        <v>104</v>
      </c>
      <c r="S181" s="178">
        <v>87</v>
      </c>
      <c r="T181" s="178">
        <v>87</v>
      </c>
      <c r="U181" s="178">
        <v>87</v>
      </c>
      <c r="V181" s="183">
        <v>87</v>
      </c>
      <c r="W181" s="134">
        <f t="shared" si="3"/>
        <v>104</v>
      </c>
      <c r="X181" s="96">
        <f>IF(D128=0,0,ROUNDUP(IF(IF((167*H10)&lt;F10,F10,(167*H10))&lt;P181,P181,IF((167*H10)&lt;F10,F10,(167*H10))),0))</f>
        <v>0</v>
      </c>
      <c r="Z181" s="85">
        <f>IF(C119=1,ROUND(AC181,0),IF(C119=2,ROUND(AD181,0),ROUND(AE181,0)))</f>
        <v>0</v>
      </c>
      <c r="AA181" s="68">
        <v>55</v>
      </c>
      <c r="AB181" t="s">
        <v>90</v>
      </c>
      <c r="AC181" s="85">
        <f t="shared" si="11"/>
        <v>0</v>
      </c>
      <c r="AD181" s="92">
        <v>1</v>
      </c>
      <c r="AE181" s="92">
        <v>1</v>
      </c>
      <c r="AI181" s="32" t="s">
        <v>117</v>
      </c>
      <c r="AJ181" s="33" t="s">
        <v>130</v>
      </c>
      <c r="AK181" s="27">
        <v>600</v>
      </c>
      <c r="AL181" s="34">
        <v>12</v>
      </c>
      <c r="AM181" s="29">
        <v>1980</v>
      </c>
      <c r="AN181" s="33" t="s">
        <v>127</v>
      </c>
      <c r="AO181" s="27">
        <v>800</v>
      </c>
      <c r="AP181" s="37">
        <v>8.199999999999989</v>
      </c>
      <c r="AQ181" s="29">
        <v>2175</v>
      </c>
      <c r="AS181" s="85">
        <f t="shared" si="7"/>
        <v>0</v>
      </c>
      <c r="AT181" s="85">
        <f>IF(AS181=0,0,(IF(AS181=H10,IF(AS181*AM181&gt;AK181,"по объёму","МИН"),IF(AS181*AL181&gt;AK181,"по весу","МИН"))))</f>
        <v>0</v>
      </c>
      <c r="AV181" s="85">
        <f>IF(F10*AP181&gt;H10*AQ181,F10,H10)</f>
        <v>0</v>
      </c>
      <c r="AW181" s="93">
        <f>IF(AV181=0,0,IF(AV181=H10,IF(AV181*AQ181&gt;AO181,"по объёму","МИН"),IF(AV181=F10,IF(AV181*AP181&gt;AO181,"по весу","МИН"))))</f>
        <v>0</v>
      </c>
    </row>
    <row r="182" spans="13:50" ht="15" hidden="1">
      <c r="M182" s="211" t="s">
        <v>82</v>
      </c>
      <c r="N182" s="170" t="s">
        <v>25</v>
      </c>
      <c r="O182" s="27" t="s">
        <v>22</v>
      </c>
      <c r="P182" s="27">
        <v>20</v>
      </c>
      <c r="Q182" s="28">
        <f t="shared" si="1"/>
        <v>1000</v>
      </c>
      <c r="R182" s="27">
        <v>50</v>
      </c>
      <c r="S182" s="27">
        <v>50</v>
      </c>
      <c r="T182" s="27">
        <v>50</v>
      </c>
      <c r="U182" s="27">
        <v>48</v>
      </c>
      <c r="V182" s="207">
        <v>48</v>
      </c>
      <c r="W182" s="134">
        <f t="shared" si="3"/>
        <v>50</v>
      </c>
      <c r="X182" s="96">
        <f>IF(D128=0,0,ROUNDUP(IF(IF((167*H10)&lt;F10,F10,(167*H10))&lt;P182,P182,IF((167*H10)&lt;F10,F10,(167*H10))),0))</f>
        <v>0</v>
      </c>
      <c r="Z182" s="85">
        <f>IF(C119=1,ROUND(AC182,0),IF(C119=2,ROUND(AD182,0),ROUND(AE182,0)))</f>
        <v>0</v>
      </c>
      <c r="AA182" s="68">
        <v>56</v>
      </c>
      <c r="AB182" t="s">
        <v>91</v>
      </c>
      <c r="AC182" s="85">
        <f aca="true" t="shared" si="14" ref="AC182:AC191">IF(X190&lt;51,X190*R190,IF(X190&lt;101,X190*S190,IF(X190&lt;301,X190*T190,IF(X190&lt;501,X190*U190,X190*V190))))</f>
        <v>0</v>
      </c>
      <c r="AD182" s="85">
        <f>IF(AT162="МИН",AK162,IF(AT162="по весу",AS162*AL162,AS162*AM162))</f>
        <v>0</v>
      </c>
      <c r="AE182" s="91">
        <f>IF(AW162="МИН",AO162,IF(AW162="по весу",AV162*AP162,AV162*AQ162))</f>
        <v>0</v>
      </c>
      <c r="AF182" s="133">
        <f>IF(C119=2,AT162,IF(C119=1,"",AW162))</f>
      </c>
      <c r="AG182" s="146">
        <f>IF(C119=2,IF(AT162="по весу",AL162,IF(AT162="мин",AK162,AM162)),IF(AW162="по весу",AP162,IF(AW162="мин",AO162,AQ162)))</f>
        <v>1788</v>
      </c>
      <c r="AH182" s="137" t="str">
        <f>IF(C119=2,AJ162,AN162)</f>
        <v>2-3</v>
      </c>
      <c r="AI182" s="32" t="s">
        <v>162</v>
      </c>
      <c r="AJ182" s="33" t="s">
        <v>132</v>
      </c>
      <c r="AK182" s="27">
        <v>1800</v>
      </c>
      <c r="AL182" s="34">
        <v>23.65</v>
      </c>
      <c r="AM182" s="29">
        <v>4274</v>
      </c>
      <c r="AN182" s="33" t="s">
        <v>128</v>
      </c>
      <c r="AO182" s="35" t="s">
        <v>128</v>
      </c>
      <c r="AP182" s="35" t="s">
        <v>128</v>
      </c>
      <c r="AQ182" s="29" t="s">
        <v>128</v>
      </c>
      <c r="AS182" s="85">
        <f t="shared" si="7"/>
        <v>0</v>
      </c>
      <c r="AT182" s="85">
        <f>IF(AS182=0,0,(IF(AS182=H10,IF(AS182*AM182&gt;AK182,"по объёму","МИН"),IF(AS182*AL182&gt;AK182,"по весу","МИН"))))</f>
        <v>0</v>
      </c>
      <c r="AV182" s="85"/>
      <c r="AW182" s="93"/>
      <c r="AX182" s="85"/>
    </row>
    <row r="183" spans="13:50" ht="15" hidden="1">
      <c r="M183" s="204" t="s">
        <v>83</v>
      </c>
      <c r="N183" s="170" t="s">
        <v>84</v>
      </c>
      <c r="O183" s="27" t="s">
        <v>22</v>
      </c>
      <c r="P183" s="27">
        <v>20</v>
      </c>
      <c r="Q183" s="28">
        <f t="shared" si="1"/>
        <v>1120</v>
      </c>
      <c r="R183" s="27">
        <v>56</v>
      </c>
      <c r="S183" s="27">
        <v>54</v>
      </c>
      <c r="T183" s="27">
        <v>52</v>
      </c>
      <c r="U183" s="27">
        <v>50</v>
      </c>
      <c r="V183" s="77">
        <v>48</v>
      </c>
      <c r="W183" s="134">
        <f t="shared" si="3"/>
        <v>56</v>
      </c>
      <c r="X183" s="96">
        <f>IF(D128=0,0,ROUNDUP(IF(IF((167*H10)&lt;F10,F10,(167*H10))&lt;P183,P183,IF((167*H10)&lt;F10,F10,(167*H10))),0))</f>
        <v>0</v>
      </c>
      <c r="Z183" s="85">
        <f>IF(C119=1,ROUND(AC183,0),IF(C119=2,ROUND(AD183,0),ROUND(AE183,0)))</f>
        <v>0</v>
      </c>
      <c r="AA183" s="68">
        <v>57</v>
      </c>
      <c r="AB183" t="s">
        <v>187</v>
      </c>
      <c r="AC183" s="85">
        <f t="shared" si="14"/>
        <v>0</v>
      </c>
      <c r="AD183" s="92">
        <v>1</v>
      </c>
      <c r="AE183" s="92">
        <v>1</v>
      </c>
      <c r="AI183" s="32" t="s">
        <v>120</v>
      </c>
      <c r="AJ183" s="33" t="s">
        <v>266</v>
      </c>
      <c r="AK183" s="27">
        <v>3300</v>
      </c>
      <c r="AL183" s="34">
        <v>33.52</v>
      </c>
      <c r="AM183" s="29">
        <v>9176</v>
      </c>
      <c r="AN183" s="33" t="s">
        <v>128</v>
      </c>
      <c r="AO183" s="35" t="s">
        <v>128</v>
      </c>
      <c r="AP183" s="35" t="s">
        <v>128</v>
      </c>
      <c r="AQ183" s="29" t="s">
        <v>128</v>
      </c>
      <c r="AS183" s="85">
        <f t="shared" si="7"/>
        <v>0</v>
      </c>
      <c r="AT183" s="85">
        <f>IF(AS183=0,0,(IF(AS183=H10,IF(AS183*AM183&gt;AK183,"по объёму","МИН"),IF(AS183*AL183&gt;AK183,"по весу","МИН"))))</f>
        <v>0</v>
      </c>
      <c r="AV183" s="85"/>
      <c r="AW183" s="93"/>
      <c r="AX183" s="85"/>
    </row>
    <row r="184" spans="13:50" ht="15" hidden="1">
      <c r="M184" s="204" t="s">
        <v>85</v>
      </c>
      <c r="N184" s="170" t="s">
        <v>84</v>
      </c>
      <c r="O184" s="27" t="s">
        <v>22</v>
      </c>
      <c r="P184" s="27">
        <v>20</v>
      </c>
      <c r="Q184" s="28">
        <f t="shared" si="1"/>
        <v>1120</v>
      </c>
      <c r="R184" s="27">
        <v>56</v>
      </c>
      <c r="S184" s="27">
        <v>54</v>
      </c>
      <c r="T184" s="27">
        <v>52</v>
      </c>
      <c r="U184" s="27">
        <v>50</v>
      </c>
      <c r="V184" s="77">
        <v>48</v>
      </c>
      <c r="W184" s="134">
        <f t="shared" si="3"/>
        <v>56</v>
      </c>
      <c r="X184" s="96">
        <f>IF(D128=0,0,ROUNDUP(IF(IF((167*H10)&lt;F10,F10,(167*H10))&lt;P184,P184,IF((167*H10)&lt;F10,F10,(167*H10))),0))</f>
        <v>0</v>
      </c>
      <c r="Z184" s="85">
        <f>IF(C119=1,ROUND(AC184,0),IF(C119=2,ROUND(AD184,0),ROUND(AE184,0)))</f>
        <v>0</v>
      </c>
      <c r="AA184" s="68">
        <v>58</v>
      </c>
      <c r="AB184" t="s">
        <v>94</v>
      </c>
      <c r="AC184" s="85">
        <f t="shared" si="14"/>
        <v>0</v>
      </c>
      <c r="AD184" s="85">
        <f>IF(AT163="МИН",AK163,IF(AT163="по весу",AS163*AL163,AS163*AM163))</f>
        <v>0</v>
      </c>
      <c r="AE184" s="91">
        <f>IF(AW163="МИН",AO163,IF(AW163="по весу",AV163*AP163,AV163*AQ163))</f>
        <v>0</v>
      </c>
      <c r="AF184" s="133">
        <f>IF(C119=2,AT163,IF(C119=1,"",AW163))</f>
      </c>
      <c r="AG184" s="146">
        <f>IF(C119=2,IF(AT163="по весу",AL163,IF(AT163="мин",AK163,AM163)),IF(AW163="по весу",AP163,IF(AW163="мин",AO163,AQ163)))</f>
        <v>1540</v>
      </c>
      <c r="AH184" s="137" t="str">
        <f>IF(C119=2,AJ163,AN163)</f>
        <v>2-3</v>
      </c>
      <c r="AI184" s="32" t="s">
        <v>163</v>
      </c>
      <c r="AJ184" s="33" t="s">
        <v>139</v>
      </c>
      <c r="AK184" s="39">
        <v>750</v>
      </c>
      <c r="AL184" s="34">
        <v>8.54</v>
      </c>
      <c r="AM184" s="29">
        <v>1226</v>
      </c>
      <c r="AN184" s="33" t="s">
        <v>128</v>
      </c>
      <c r="AO184" s="40" t="s">
        <v>128</v>
      </c>
      <c r="AP184" s="35" t="s">
        <v>128</v>
      </c>
      <c r="AQ184" s="29" t="s">
        <v>128</v>
      </c>
      <c r="AS184" s="85">
        <f t="shared" si="7"/>
        <v>0</v>
      </c>
      <c r="AT184" s="85">
        <f>IF(AS184=0,0,(IF(AS184=H10,IF(AS184*AM184&gt;AK184,"по объёму","МИН"),IF(AS184*AL184&gt;AK184,"по весу","МИН"))))</f>
        <v>0</v>
      </c>
      <c r="AV184" s="85"/>
      <c r="AW184" s="93"/>
      <c r="AX184" s="85"/>
    </row>
    <row r="185" spans="13:44" ht="15" hidden="1">
      <c r="M185" s="211" t="s">
        <v>86</v>
      </c>
      <c r="N185" s="170" t="s">
        <v>37</v>
      </c>
      <c r="O185" s="27" t="s">
        <v>22</v>
      </c>
      <c r="P185" s="27">
        <v>30</v>
      </c>
      <c r="Q185" s="28">
        <f t="shared" si="1"/>
        <v>1380</v>
      </c>
      <c r="R185" s="196">
        <v>46</v>
      </c>
      <c r="S185" s="196">
        <f>R185</f>
        <v>46</v>
      </c>
      <c r="T185" s="196">
        <f>S185</f>
        <v>46</v>
      </c>
      <c r="U185" s="196">
        <f>T185</f>
        <v>46</v>
      </c>
      <c r="V185" s="199">
        <f>U185</f>
        <v>46</v>
      </c>
      <c r="W185" s="134">
        <f t="shared" si="3"/>
        <v>46</v>
      </c>
      <c r="X185" s="96">
        <f>IF(D128=0,0,ROUNDUP(IF(IF((167*H10)&lt;F10,F10,(167*H10))&lt;P185,P185,IF((167*H10)&lt;F10,F10,(167*H10))),0))</f>
        <v>0</v>
      </c>
      <c r="Z185" s="85">
        <f>IF(C119=1,ROUND(AC185,0),IF(C119=2,ROUND(AD185,0),ROUND(AE185,0)))</f>
        <v>0</v>
      </c>
      <c r="AA185" s="68">
        <v>59</v>
      </c>
      <c r="AB185" t="s">
        <v>95</v>
      </c>
      <c r="AC185" s="85">
        <f t="shared" si="14"/>
        <v>0</v>
      </c>
      <c r="AD185" s="85">
        <f>IF(AT164="МИН",AK164,IF(AT164="по весу",AS164*AL164,AS164*AM164))</f>
        <v>0</v>
      </c>
      <c r="AE185" s="91">
        <f>IF(AW164="МИН",AO164,IF(AW164="по весу",AV164*AP164,AV164*AQ164))</f>
        <v>0</v>
      </c>
      <c r="AF185" s="133">
        <f>IF(C119=2,AT164,IF(C119=1,"",AW164))</f>
      </c>
      <c r="AG185" s="146">
        <f>IF(C119=2,IF(AT164="по весу",AL164,IF(AT164="мин",AK164,AM164)),IF(AW164="по весу",AP164,IF(AW164="мин",AO164,AQ164)))</f>
        <v>1122</v>
      </c>
      <c r="AH185" s="137" t="str">
        <f>IF(C119=2,AJ164,AN164)</f>
        <v>1-2</v>
      </c>
      <c r="AR185" s="146"/>
    </row>
    <row r="186" spans="13:44" ht="15" hidden="1">
      <c r="M186" s="171" t="s">
        <v>88</v>
      </c>
      <c r="N186" s="180" t="s">
        <v>25</v>
      </c>
      <c r="O186" s="178" t="s">
        <v>22</v>
      </c>
      <c r="P186" s="178">
        <v>20</v>
      </c>
      <c r="Q186" s="177">
        <f t="shared" si="1"/>
        <v>980</v>
      </c>
      <c r="R186" s="27">
        <v>49</v>
      </c>
      <c r="S186" s="27">
        <v>49</v>
      </c>
      <c r="T186" s="27">
        <v>48</v>
      </c>
      <c r="U186" s="27">
        <v>48</v>
      </c>
      <c r="V186" s="77">
        <v>48</v>
      </c>
      <c r="W186" s="134">
        <f t="shared" si="3"/>
        <v>49</v>
      </c>
      <c r="X186" s="96">
        <f>IF(D128=0,0,ROUNDUP(IF(IF((167*H10)&lt;F10,F10,(167*H10))&lt;P186,P186,IF((167*H10)&lt;F10,F10,(167*H10))),0))</f>
        <v>0</v>
      </c>
      <c r="Z186" s="85">
        <f>IF(C119=1,ROUND(AC186,0),IF(C119=2,ROUND(AD186,0),ROUND(AE186,0)))</f>
        <v>0</v>
      </c>
      <c r="AA186" s="68">
        <v>60</v>
      </c>
      <c r="AB186" t="s">
        <v>96</v>
      </c>
      <c r="AC186" s="85">
        <f t="shared" si="14"/>
        <v>0</v>
      </c>
      <c r="AD186" s="85">
        <f>IF(AT165="МИН",AK165,IF(AT165="по весу",AS165*AL165,AS165*AM165))</f>
        <v>0</v>
      </c>
      <c r="AE186" s="92">
        <v>1</v>
      </c>
      <c r="AF186" s="133">
        <f>IF(C119=2,AT165,IF(C119=1,"",AW165))</f>
      </c>
      <c r="AG186" s="146" t="str">
        <f>IF(C119=2,IF(AT165="по весу",AL165,IF(AT165="мин",AK165,AM165)),IF(AW165="по весу",AP165,IF(AW165="мин",AO165,AQ165)))</f>
        <v>------</v>
      </c>
      <c r="AH186" s="137" t="str">
        <f>IF(C119=2,AJ165,AN165)</f>
        <v>------</v>
      </c>
      <c r="AR186" s="146"/>
    </row>
    <row r="187" spans="13:44" ht="15" hidden="1">
      <c r="M187" s="215" t="s">
        <v>89</v>
      </c>
      <c r="N187" s="170" t="s">
        <v>39</v>
      </c>
      <c r="O187" s="27" t="s">
        <v>22</v>
      </c>
      <c r="P187" s="27">
        <v>30</v>
      </c>
      <c r="Q187" s="28">
        <f t="shared" si="1"/>
        <v>3150</v>
      </c>
      <c r="R187" s="196">
        <v>105</v>
      </c>
      <c r="S187" s="196">
        <f aca="true" t="shared" si="15" ref="S187:V189">R187</f>
        <v>105</v>
      </c>
      <c r="T187" s="196">
        <f t="shared" si="15"/>
        <v>105</v>
      </c>
      <c r="U187" s="196">
        <f t="shared" si="15"/>
        <v>105</v>
      </c>
      <c r="V187" s="199">
        <f t="shared" si="15"/>
        <v>105</v>
      </c>
      <c r="W187" s="134">
        <f t="shared" si="3"/>
        <v>105</v>
      </c>
      <c r="X187" s="96">
        <f>IF(D128=0,0,ROUNDUP(IF(IF((167*H10)&lt;F10,F10,(167*H10))&lt;P187,P187,IF((167*H10)&lt;F10,F10,(167*H10))),0))</f>
        <v>0</v>
      </c>
      <c r="Z187" s="85">
        <f>IF(C119=1,ROUND(AC187,0),IF(C119=2,ROUND(AD187,0),ROUND(AE187,0)))</f>
        <v>0</v>
      </c>
      <c r="AA187" s="68">
        <v>61</v>
      </c>
      <c r="AB187" t="s">
        <v>98</v>
      </c>
      <c r="AC187" s="85">
        <f t="shared" si="14"/>
        <v>0</v>
      </c>
      <c r="AD187" s="85">
        <f>IF(AT166="МИН",AK166,IF(AT166="по весу",AS166*AL166,AS166*AM166))</f>
        <v>0</v>
      </c>
      <c r="AE187" s="91">
        <f>IF(AW166="МИН",AO166,IF(AW166="по весу",AV166*AP166,AV166*AQ166))</f>
        <v>0</v>
      </c>
      <c r="AF187" s="133">
        <f>IF(C119=2,AT166,IF(C119=1,"",AW166))</f>
      </c>
      <c r="AG187" s="146">
        <f>IF(C119=2,IF(AT166="по весу",AL166,IF(AT166="мин",AK166,AM166)),IF(AW166="по весу",AP166,IF(AW166="мин",AO166,AQ166)))</f>
        <v>1368</v>
      </c>
      <c r="AH187" s="148">
        <f>IF(C119=2,AJ166,AN166)</f>
        <v>3</v>
      </c>
      <c r="AR187" s="146"/>
    </row>
    <row r="188" spans="13:34" ht="15" hidden="1">
      <c r="M188" s="241" t="s">
        <v>282</v>
      </c>
      <c r="N188" s="170" t="s">
        <v>65</v>
      </c>
      <c r="O188" s="27" t="s">
        <v>19</v>
      </c>
      <c r="P188" s="27">
        <v>30</v>
      </c>
      <c r="Q188" s="28">
        <f t="shared" si="1"/>
        <v>3090</v>
      </c>
      <c r="R188" s="196">
        <v>103</v>
      </c>
      <c r="S188" s="196">
        <f t="shared" si="15"/>
        <v>103</v>
      </c>
      <c r="T188" s="196">
        <f t="shared" si="15"/>
        <v>103</v>
      </c>
      <c r="U188" s="196">
        <f t="shared" si="15"/>
        <v>103</v>
      </c>
      <c r="V188" s="199">
        <f t="shared" si="15"/>
        <v>103</v>
      </c>
      <c r="W188" s="134">
        <f t="shared" si="3"/>
        <v>103</v>
      </c>
      <c r="X188" s="96">
        <f>IF(D128=0,0,ROUNDUP(IF(IF((167*H10)&lt;F10,F10,(167*H10))&lt;P188,P188,IF((167*H10)&lt;F10,F10,(167*H10))),0))</f>
        <v>0</v>
      </c>
      <c r="Z188" s="85">
        <f>IF(C119=1,ROUND(AC188,0),IF(C119=2,ROUND(AD188,0),ROUND(AE188,0)))</f>
        <v>0</v>
      </c>
      <c r="AA188" s="68">
        <v>62</v>
      </c>
      <c r="AB188" t="s">
        <v>99</v>
      </c>
      <c r="AC188" s="85">
        <f t="shared" si="14"/>
        <v>0</v>
      </c>
      <c r="AD188" s="85">
        <f>IF(AT167="МИН",AK167,IF(AT167="по весу",AS167*AL167,AS167*AM167))</f>
        <v>0</v>
      </c>
      <c r="AE188" s="92">
        <v>1</v>
      </c>
      <c r="AF188" s="133">
        <f>IF(C119=2,AT167,IF(C119=1,"",AW167))</f>
      </c>
      <c r="AG188" s="146" t="str">
        <f>IF(C119=2,IF(AT167="по весу",AL167,IF(AT167="мин",AK167,AM167)),IF(AW167="по весу",AP167,IF(AW167="мин",AO167,AQ167)))</f>
        <v>------</v>
      </c>
      <c r="AH188" s="137" t="str">
        <f>IF(C119=2,AJ167,AN167)</f>
        <v>------</v>
      </c>
    </row>
    <row r="189" spans="13:31" ht="15" hidden="1">
      <c r="M189" s="241"/>
      <c r="N189" s="170" t="s">
        <v>23</v>
      </c>
      <c r="O189" s="27" t="s">
        <v>22</v>
      </c>
      <c r="P189" s="27">
        <v>50</v>
      </c>
      <c r="Q189" s="28">
        <f t="shared" si="1"/>
        <v>6000</v>
      </c>
      <c r="R189" s="196">
        <v>120</v>
      </c>
      <c r="S189" s="196">
        <f t="shared" si="15"/>
        <v>120</v>
      </c>
      <c r="T189" s="196">
        <f t="shared" si="15"/>
        <v>120</v>
      </c>
      <c r="U189" s="196">
        <f t="shared" si="15"/>
        <v>120</v>
      </c>
      <c r="V189" s="199">
        <f t="shared" si="15"/>
        <v>120</v>
      </c>
      <c r="W189" s="134">
        <f t="shared" si="3"/>
        <v>120</v>
      </c>
      <c r="X189" s="96">
        <f>IF(D128=0,0,ROUNDUP(IF(IF((167*H10)&lt;F10,F10,(167*H10))&lt;P189,P189,IF((167*H10)&lt;F10,F10,(167*H10))),0))</f>
        <v>0</v>
      </c>
      <c r="Y189" s="85">
        <f>IF(X189&lt;51,X189*R189,IF(X189&lt;101,X189*S189,IF(X189&lt;301,X189*T189,IF(X189&lt;501,X189*U189,X189*V189))))</f>
        <v>0</v>
      </c>
      <c r="Z189" s="85">
        <f>IF(C119=1,ROUND(AC189,0),IF(C119=2,ROUND(AD189,0),ROUND(AE189,0)))</f>
        <v>0</v>
      </c>
      <c r="AA189" s="68">
        <v>63</v>
      </c>
      <c r="AB189" t="s">
        <v>100</v>
      </c>
      <c r="AC189" s="85">
        <f t="shared" si="14"/>
        <v>0</v>
      </c>
      <c r="AD189" s="92">
        <v>1</v>
      </c>
      <c r="AE189" s="92">
        <v>1</v>
      </c>
    </row>
    <row r="190" spans="13:34" ht="15" hidden="1">
      <c r="M190" s="171" t="s">
        <v>91</v>
      </c>
      <c r="N190" s="180" t="s">
        <v>25</v>
      </c>
      <c r="O190" s="178" t="s">
        <v>22</v>
      </c>
      <c r="P190" s="178">
        <v>20</v>
      </c>
      <c r="Q190" s="177">
        <f t="shared" si="1"/>
        <v>840</v>
      </c>
      <c r="R190" s="178">
        <v>42</v>
      </c>
      <c r="S190" s="178">
        <v>42</v>
      </c>
      <c r="T190" s="178">
        <v>40</v>
      </c>
      <c r="U190" s="178">
        <v>40</v>
      </c>
      <c r="V190" s="183">
        <v>40</v>
      </c>
      <c r="W190" s="134">
        <f t="shared" si="3"/>
        <v>42</v>
      </c>
      <c r="X190" s="96">
        <f>IF(D128=0,0,ROUNDUP(IF(IF((167*H10)&lt;F10,F10,(167*H10))&lt;P190,P190,IF((167*H10)&lt;F10,F10,(167*H10))),0))</f>
        <v>0</v>
      </c>
      <c r="Z190" s="85">
        <f>IF(C119=1,ROUND(AC190,0),IF(C119=2,ROUND(AD190,0),ROUND(AE190,0)))</f>
        <v>0</v>
      </c>
      <c r="AA190" s="68">
        <v>64</v>
      </c>
      <c r="AB190" t="s">
        <v>101</v>
      </c>
      <c r="AC190" s="85">
        <f t="shared" si="14"/>
        <v>0</v>
      </c>
      <c r="AD190" s="85">
        <f aca="true" t="shared" si="16" ref="AD190:AD199">IF(AT168="МИН",AK168,IF(AT168="по весу",AS168*AL168,AS168*AM168))</f>
        <v>0</v>
      </c>
      <c r="AE190" s="92">
        <v>1</v>
      </c>
      <c r="AF190" s="133">
        <f>IF(C119=2,AT168,IF(C119=1,"",AW168))</f>
      </c>
      <c r="AG190" s="146" t="str">
        <f>IF(C119=2,IF(AT168="по весу",AL168,IF(AT168="мин",AK168,AM168)),IF(AW168="по весу",AP168,IF(AW168="мин",AO168,AQ168)))</f>
        <v>------</v>
      </c>
      <c r="AH190" s="137" t="str">
        <f>IF(C119=2,AJ168,AN168)</f>
        <v>------</v>
      </c>
    </row>
    <row r="191" spans="13:34" ht="15" hidden="1">
      <c r="M191" s="211" t="s">
        <v>92</v>
      </c>
      <c r="N191" s="170" t="s">
        <v>93</v>
      </c>
      <c r="O191" s="27" t="s">
        <v>22</v>
      </c>
      <c r="P191" s="216">
        <v>20</v>
      </c>
      <c r="Q191" s="28">
        <f t="shared" si="1"/>
        <v>3700</v>
      </c>
      <c r="R191" s="196">
        <v>185</v>
      </c>
      <c r="S191" s="196">
        <f>R191</f>
        <v>185</v>
      </c>
      <c r="T191" s="196">
        <f>S191</f>
        <v>185</v>
      </c>
      <c r="U191" s="196">
        <f>T191</f>
        <v>185</v>
      </c>
      <c r="V191" s="199">
        <f>U191</f>
        <v>185</v>
      </c>
      <c r="W191" s="134">
        <f t="shared" si="3"/>
        <v>185</v>
      </c>
      <c r="X191" s="96">
        <f>IF(D128=0,0,ROUNDUP(IF(IF((167*H10)&lt;F10,F10,(167*H10))&lt;P191,P191,IF((167*H10)&lt;F10,F10,(167*H10))),0))</f>
        <v>0</v>
      </c>
      <c r="Z191" s="85">
        <f>IF(C119=1,ROUND(AC191,0),IF(C119=2,ROUND(AD191,0),ROUND(AE191,0)))</f>
        <v>0</v>
      </c>
      <c r="AA191" s="68">
        <v>65</v>
      </c>
      <c r="AB191" t="s">
        <v>103</v>
      </c>
      <c r="AC191" s="85">
        <f t="shared" si="14"/>
        <v>0</v>
      </c>
      <c r="AD191" s="85">
        <f t="shared" si="16"/>
        <v>0</v>
      </c>
      <c r="AE191" s="91">
        <f>IF(AW169="МИН",AO169,IF(AW169="по весу",AV169*AP169,AV169*AQ169))</f>
        <v>0</v>
      </c>
      <c r="AF191" s="133">
        <f>IF(C119=2,AT169,IF(C119=1,"",AW169))</f>
      </c>
      <c r="AG191" s="146">
        <f>IF(C119=2,IF(AT169="по весу",AL169,IF(AT169="мин",AK169,AM169)),IF(AW169="по весу",AP169,IF(AW169="мин",AO169,AQ169)))</f>
        <v>2363</v>
      </c>
      <c r="AH191" s="137" t="str">
        <f>IF(C119=2,AJ169,AN169)</f>
        <v>7-8</v>
      </c>
    </row>
    <row r="192" spans="13:34" ht="15" hidden="1">
      <c r="M192" s="211" t="s">
        <v>94</v>
      </c>
      <c r="N192" s="170" t="s">
        <v>271</v>
      </c>
      <c r="O192" s="27" t="s">
        <v>22</v>
      </c>
      <c r="P192" s="27">
        <v>20</v>
      </c>
      <c r="Q192" s="28">
        <f>P192*R192</f>
        <v>840</v>
      </c>
      <c r="R192" s="27">
        <v>42</v>
      </c>
      <c r="S192" s="27">
        <v>42</v>
      </c>
      <c r="T192" s="27">
        <v>42</v>
      </c>
      <c r="U192" s="27">
        <v>40</v>
      </c>
      <c r="V192" s="77">
        <v>40</v>
      </c>
      <c r="W192" s="134">
        <f aca="true" t="shared" si="17" ref="W192:W222">IF(X192&lt;51,R192,IF(X192&lt;101,S192,IF(X192&lt;301,T192,IF(X192&lt;501,U192,V192))))</f>
        <v>42</v>
      </c>
      <c r="X192" s="96">
        <f>IF(D128=0,0,ROUNDUP(IF(IF((167*H10)&lt;F10,F10,(167*H10))&lt;P192,P192,IF((167*H10)&lt;F10,F10,(167*H10))),0))</f>
        <v>0</v>
      </c>
      <c r="Z192" s="85">
        <f>IF(C119=1,ROUND(AC192,0),IF(C119=2,ROUND(AD192,0),ROUND(AE192,0)))</f>
        <v>0</v>
      </c>
      <c r="AA192" s="68">
        <v>66</v>
      </c>
      <c r="AB192" t="s">
        <v>104</v>
      </c>
      <c r="AC192" s="85">
        <f>IF(X201&lt;51,X201*R201,IF(X201&lt;101,X201*S201,IF(X201&lt;301,X201*T201,IF(X201&lt;501,X201*U201,X201*V201))))</f>
        <v>0</v>
      </c>
      <c r="AD192" s="85">
        <f t="shared" si="16"/>
        <v>0</v>
      </c>
      <c r="AE192" s="92">
        <v>1</v>
      </c>
      <c r="AF192" s="133">
        <f>IF(C119=2,AT170,IF(C119=1,"",AW170))</f>
      </c>
      <c r="AG192" s="146" t="str">
        <f>IF(C119=2,IF(AT170="по весу",AL170,IF(AT170="мин",AK170,AM170)),IF(AW170="по весу",AP170,IF(AW170="мин",AO170,AQ170)))</f>
        <v>------</v>
      </c>
      <c r="AH192" s="137" t="str">
        <f>IF(C119=2,AJ170,AN170)</f>
        <v>------</v>
      </c>
    </row>
    <row r="193" spans="13:34" ht="15" hidden="1">
      <c r="M193" s="76" t="s">
        <v>95</v>
      </c>
      <c r="N193" s="180" t="s">
        <v>25</v>
      </c>
      <c r="O193" s="178" t="s">
        <v>22</v>
      </c>
      <c r="P193" s="176">
        <v>20</v>
      </c>
      <c r="Q193" s="177">
        <f aca="true" t="shared" si="18" ref="Q193:Q209">P193*R193</f>
        <v>740</v>
      </c>
      <c r="R193" s="181">
        <v>37</v>
      </c>
      <c r="S193" s="181">
        <f aca="true" t="shared" si="19" ref="S193:V194">R193</f>
        <v>37</v>
      </c>
      <c r="T193" s="181">
        <f t="shared" si="19"/>
        <v>37</v>
      </c>
      <c r="U193" s="181">
        <f t="shared" si="19"/>
        <v>37</v>
      </c>
      <c r="V193" s="182">
        <f t="shared" si="19"/>
        <v>37</v>
      </c>
      <c r="W193" s="134">
        <f t="shared" si="17"/>
        <v>37</v>
      </c>
      <c r="X193" s="96">
        <f>IF(D128=0,0,ROUNDUP(IF(IF((167*H10)&lt;F10,F10,(167*H10))&lt;P193,P193,IF((167*H10)&lt;F10,F10,(167*H10))),0))</f>
        <v>0</v>
      </c>
      <c r="Z193" s="85">
        <f>IF(C119=1,ROUND(AC193,0),IF(C119=2,ROUND(AD193,0),ROUND(AE193,0)))</f>
        <v>1</v>
      </c>
      <c r="AA193" s="68">
        <v>67</v>
      </c>
      <c r="AB193" t="s">
        <v>188</v>
      </c>
      <c r="AC193" s="92">
        <v>1</v>
      </c>
      <c r="AD193" s="92">
        <v>1</v>
      </c>
      <c r="AE193" s="92">
        <v>1</v>
      </c>
      <c r="AF193" s="133">
        <f>IF(C119=2,AT171,IF(C119=1,"",AW171))</f>
      </c>
      <c r="AG193" s="146" t="str">
        <f>IF(C119=2,IF(AT171="по весу",AL171,IF(AT171="мин",AK171,AM171)),IF(AW171="по весу",AP171,IF(AW171="мин",AO171,AQ171)))</f>
        <v>------</v>
      </c>
      <c r="AH193" s="137" t="str">
        <f>IF(C119=2,AJ171,AN171)</f>
        <v>------</v>
      </c>
    </row>
    <row r="194" spans="13:34" ht="15" hidden="1">
      <c r="M194" s="215" t="s">
        <v>96</v>
      </c>
      <c r="N194" s="26" t="s">
        <v>97</v>
      </c>
      <c r="O194" s="217" t="s">
        <v>22</v>
      </c>
      <c r="P194" s="217">
        <v>30</v>
      </c>
      <c r="Q194" s="28">
        <f t="shared" si="18"/>
        <v>1140</v>
      </c>
      <c r="R194" s="196">
        <v>38</v>
      </c>
      <c r="S194" s="196">
        <f t="shared" si="19"/>
        <v>38</v>
      </c>
      <c r="T194" s="196">
        <f t="shared" si="19"/>
        <v>38</v>
      </c>
      <c r="U194" s="196">
        <f t="shared" si="19"/>
        <v>38</v>
      </c>
      <c r="V194" s="199">
        <f t="shared" si="19"/>
        <v>38</v>
      </c>
      <c r="W194" s="134">
        <f t="shared" si="17"/>
        <v>38</v>
      </c>
      <c r="X194" s="96">
        <f>IF(D128=0,0,ROUNDUP(IF(IF((167*H10)&lt;F10,F10,(167*H10))&lt;P194,P194,IF((167*H10)&lt;F10,F10,(167*H10))),0))</f>
        <v>0</v>
      </c>
      <c r="Z194" s="85">
        <f>IF(C119=1,ROUND(AC194,0),IF(C119=2,ROUND(AD194,0),ROUND(AE194,0)))</f>
        <v>1</v>
      </c>
      <c r="AA194" s="68">
        <v>68</v>
      </c>
      <c r="AB194" t="s">
        <v>189</v>
      </c>
      <c r="AC194" s="92">
        <v>1</v>
      </c>
      <c r="AD194" s="85">
        <f t="shared" si="16"/>
        <v>0</v>
      </c>
      <c r="AE194" s="92">
        <v>1</v>
      </c>
      <c r="AF194" s="133">
        <f>IF(C119=2,AT172,IF(C119=1,"",AW172))</f>
      </c>
      <c r="AG194" s="146" t="str">
        <f>IF(C119=2,IF(AT172="по весу",AL172,IF(AT172="мин",AK172,AM172)),IF(AW172="по весу",AP172,IF(AW172="мин",AO172,AQ172)))</f>
        <v>------</v>
      </c>
      <c r="AH194" s="137" t="str">
        <f>IF(C119=2,AJ172,AN172)</f>
        <v>------</v>
      </c>
    </row>
    <row r="195" spans="13:34" ht="15" hidden="1">
      <c r="M195" s="171" t="s">
        <v>98</v>
      </c>
      <c r="N195" s="180" t="s">
        <v>87</v>
      </c>
      <c r="O195" s="178" t="s">
        <v>22</v>
      </c>
      <c r="P195" s="178">
        <v>20</v>
      </c>
      <c r="Q195" s="177">
        <f t="shared" si="18"/>
        <v>1560</v>
      </c>
      <c r="R195" s="196">
        <v>78</v>
      </c>
      <c r="S195" s="196">
        <f>R195</f>
        <v>78</v>
      </c>
      <c r="T195" s="196">
        <f>S195</f>
        <v>78</v>
      </c>
      <c r="U195" s="196">
        <f>T195</f>
        <v>78</v>
      </c>
      <c r="V195" s="199">
        <f>U195</f>
        <v>78</v>
      </c>
      <c r="W195" s="134">
        <f t="shared" si="17"/>
        <v>78</v>
      </c>
      <c r="X195" s="96">
        <f>IF(D128=0,0,ROUNDUP(IF(IF((167*H10)&lt;F10,F10,(167*H10))&lt;P195,P195,IF((167*H10)&lt;F10,F10,(167*H10))),0))</f>
        <v>0</v>
      </c>
      <c r="Z195" s="85">
        <f>IF(C119=1,ROUND(AC195,0),IF(C119=2,ROUND(AD195,0),ROUND(AE195,0)))</f>
        <v>0</v>
      </c>
      <c r="AA195" s="68">
        <v>69</v>
      </c>
      <c r="AB195" t="s">
        <v>105</v>
      </c>
      <c r="AC195" s="85">
        <f>IF(X202&lt;51,X202*R202,IF(X202&lt;101,X202*S202,IF(X202&lt;301,X202*T202,IF(X202&lt;501,X202*U202,X202*V202))))</f>
        <v>0</v>
      </c>
      <c r="AD195" s="85">
        <f t="shared" si="16"/>
        <v>0</v>
      </c>
      <c r="AE195" s="91">
        <f>IF(AW173="МИН",AO173,IF(AW173="по весу",AV173*AP173,AV173*AQ173))</f>
        <v>0</v>
      </c>
      <c r="AF195" s="133">
        <f>IF(C119=2,AT173,IF(C119=1,"",AW173))</f>
      </c>
      <c r="AG195" s="146">
        <f>IF(C119=2,IF(AT173="по весу",AL173,IF(AT173="мин",AK173,AM173)),IF(AW173="по весу",AP173,IF(AW173="мин",AO173,AQ173)))</f>
        <v>2280</v>
      </c>
      <c r="AH195" s="137" t="str">
        <f>IF(C119=2,AJ173,AN173)</f>
        <v>9-10</v>
      </c>
    </row>
    <row r="196" spans="13:34" ht="15" hidden="1">
      <c r="M196" s="171" t="s">
        <v>99</v>
      </c>
      <c r="N196" s="180" t="s">
        <v>271</v>
      </c>
      <c r="O196" s="178" t="s">
        <v>22</v>
      </c>
      <c r="P196" s="178">
        <v>20</v>
      </c>
      <c r="Q196" s="177">
        <f t="shared" si="18"/>
        <v>820</v>
      </c>
      <c r="R196" s="27">
        <v>41</v>
      </c>
      <c r="S196" s="27">
        <v>40</v>
      </c>
      <c r="T196" s="27">
        <v>40</v>
      </c>
      <c r="U196" s="27">
        <v>40</v>
      </c>
      <c r="V196" s="208">
        <v>40</v>
      </c>
      <c r="W196" s="134">
        <f t="shared" si="17"/>
        <v>41</v>
      </c>
      <c r="X196" s="96">
        <f>IF(D128=0,0,ROUNDUP(IF(IF((167*H10)&lt;F10,F10,(167*H10))&lt;P196,P196,IF((167*H10)&lt;F10,F10,(167*H10))),0))</f>
        <v>0</v>
      </c>
      <c r="Z196" s="85">
        <f>IF(C119=1,ROUND(AC196,0),IF(C119=2,ROUND(AD196,0),ROUND(AE196,0)))</f>
        <v>1</v>
      </c>
      <c r="AA196" s="68">
        <v>70</v>
      </c>
      <c r="AB196" t="s">
        <v>159</v>
      </c>
      <c r="AC196" s="92">
        <v>1</v>
      </c>
      <c r="AD196" s="85">
        <f t="shared" si="16"/>
        <v>0</v>
      </c>
      <c r="AE196" s="92">
        <v>1</v>
      </c>
      <c r="AF196" s="133">
        <f>IF(C119=2,AT174,IF(C119=1,"",AW174))</f>
      </c>
      <c r="AG196" s="146" t="str">
        <f>IF(C119=2,IF(AT174="по весу",AL174,IF(AT174="мин",AK174,AM174)),IF(AW174="по весу",AP174,IF(AW174="мин",AO174,AQ174)))</f>
        <v>------</v>
      </c>
      <c r="AH196" s="137" t="str">
        <f>IF(C119=2,AJ174,AN174)</f>
        <v>------</v>
      </c>
    </row>
    <row r="197" spans="13:34" ht="15" hidden="1">
      <c r="M197" s="171" t="s">
        <v>100</v>
      </c>
      <c r="N197" s="180" t="s">
        <v>272</v>
      </c>
      <c r="O197" s="178" t="s">
        <v>19</v>
      </c>
      <c r="P197" s="178">
        <v>30</v>
      </c>
      <c r="Q197" s="177">
        <f t="shared" si="18"/>
        <v>3810</v>
      </c>
      <c r="R197" s="181">
        <v>127</v>
      </c>
      <c r="S197" s="181">
        <v>104</v>
      </c>
      <c r="T197" s="181">
        <v>104</v>
      </c>
      <c r="U197" s="181">
        <f>T197</f>
        <v>104</v>
      </c>
      <c r="V197" s="182">
        <f>U197</f>
        <v>104</v>
      </c>
      <c r="W197" s="134">
        <f t="shared" si="17"/>
        <v>127</v>
      </c>
      <c r="X197" s="96">
        <f>IF(D128=0,0,ROUNDUP(IF(IF((167*H10)&lt;F10,F10,(167*H10))&lt;P197,P197,IF((167*H10)&lt;F10,F10,(167*H10))),0))</f>
        <v>0</v>
      </c>
      <c r="Z197" s="85">
        <f>IF(C119=1,ROUND(AC197,0),IF(C119=2,ROUND(AD197,0),ROUND(AE197,0)))</f>
        <v>0</v>
      </c>
      <c r="AA197" s="68">
        <v>71</v>
      </c>
      <c r="AB197" t="s">
        <v>107</v>
      </c>
      <c r="AC197" s="85">
        <f>IF(X204&lt;51,X204*R204,IF(X204&lt;101,X204*S204,IF(X204&lt;301,X204*T204,IF(X204&lt;501,X204*U204,X204*V204))))</f>
        <v>0</v>
      </c>
      <c r="AD197" s="85">
        <f t="shared" si="16"/>
        <v>0</v>
      </c>
      <c r="AE197" s="92">
        <v>1</v>
      </c>
      <c r="AF197" s="133">
        <f>IF(C119=2,AT175,IF(C119=1,"",AW175))</f>
      </c>
      <c r="AG197" s="146" t="str">
        <f>IF(C119=2,IF(AT175="по весу",AL175,IF(AT175="мин",AK175,AM175)),IF(AW175="по весу",AP175,IF(AW175="мин",AO175,AQ175)))</f>
        <v>------</v>
      </c>
      <c r="AH197" s="137" t="str">
        <f>IF(C119=2,AJ175,AN175)</f>
        <v>------</v>
      </c>
    </row>
    <row r="198" spans="13:34" ht="15" hidden="1">
      <c r="M198" s="172" t="s">
        <v>101</v>
      </c>
      <c r="N198" s="180" t="s">
        <v>102</v>
      </c>
      <c r="O198" s="178" t="s">
        <v>19</v>
      </c>
      <c r="P198" s="178">
        <v>30</v>
      </c>
      <c r="Q198" s="177">
        <f t="shared" si="18"/>
        <v>1650</v>
      </c>
      <c r="R198" s="178">
        <v>55</v>
      </c>
      <c r="S198" s="178">
        <v>55</v>
      </c>
      <c r="T198" s="178">
        <v>52</v>
      </c>
      <c r="U198" s="178">
        <v>52</v>
      </c>
      <c r="V198" s="179">
        <v>49</v>
      </c>
      <c r="W198" s="134">
        <f t="shared" si="17"/>
        <v>55</v>
      </c>
      <c r="X198" s="96">
        <f>IF(D128=0,0,ROUNDUP(IF(IF((167*H10)&lt;F10,F10,(167*H10))&lt;P198,P198,IF((167*H10)&lt;F10,F10,(167*H10))),0))</f>
        <v>0</v>
      </c>
      <c r="Z198" s="85">
        <f>IF(C119=1,ROUND(AC198,0),IF(C119=2,ROUND(AD198,0),ROUND(AE198,0)))</f>
        <v>0</v>
      </c>
      <c r="AA198" s="68">
        <v>72</v>
      </c>
      <c r="AB198" t="s">
        <v>108</v>
      </c>
      <c r="AC198" s="85">
        <f>IF(X205&lt;51,X205*R205,IF(X205&lt;101,X205*S205,IF(X205&lt;301,X205*T205,IF(X205&lt;501,X205*U205,X205*V205))))</f>
        <v>0</v>
      </c>
      <c r="AD198" s="85">
        <f t="shared" si="16"/>
        <v>0</v>
      </c>
      <c r="AE198" s="92">
        <v>1</v>
      </c>
      <c r="AF198" s="133">
        <f>IF(C119=2,AT176,IF(C119=1,"",AW176))</f>
      </c>
      <c r="AG198" s="146" t="str">
        <f>IF(C119=2,IF(AT176="по весу",AL176,IF(AT176="мин",AK176,AM176)),IF(AW176="по весу",AP176,IF(AW176="мин",AO176,AQ176)))</f>
        <v>------</v>
      </c>
      <c r="AH198" s="137" t="str">
        <f>IF(C119=2,AJ176,AN176)</f>
        <v>------</v>
      </c>
    </row>
    <row r="199" spans="13:34" ht="15" hidden="1">
      <c r="M199" s="240" t="s">
        <v>103</v>
      </c>
      <c r="N199" s="201" t="s">
        <v>25</v>
      </c>
      <c r="O199" s="27" t="s">
        <v>22</v>
      </c>
      <c r="P199" s="27">
        <v>20</v>
      </c>
      <c r="Q199" s="28">
        <f t="shared" si="18"/>
        <v>1220</v>
      </c>
      <c r="R199" s="27">
        <v>61</v>
      </c>
      <c r="S199" s="27">
        <v>61</v>
      </c>
      <c r="T199" s="27">
        <v>60</v>
      </c>
      <c r="U199" s="27">
        <v>60</v>
      </c>
      <c r="V199" s="77">
        <v>59</v>
      </c>
      <c r="W199" s="134">
        <f t="shared" si="17"/>
        <v>61</v>
      </c>
      <c r="X199" s="96">
        <f>IF(D128=0,0,ROUNDUP(IF(IF((167*H10)&lt;F10,F10,(167*H10))&lt;P199,P199,IF((167*H10)&lt;F10,F10,(167*H10))),0))</f>
        <v>0</v>
      </c>
      <c r="Z199" s="85">
        <f>IF(C119=1,ROUND(AC199,0),IF(C119=2,ROUND(AD199,0),ROUND(AE199,0)))</f>
        <v>0</v>
      </c>
      <c r="AA199" s="68">
        <v>73</v>
      </c>
      <c r="AB199" t="s">
        <v>110</v>
      </c>
      <c r="AC199" s="85">
        <f>IF(X207&lt;51,X207*R207,IF(X207&lt;101,X207*S207,IF(X207&lt;301,X207*T207,IF(X207&lt;501,X207*U207,X207*V207))))</f>
        <v>0</v>
      </c>
      <c r="AD199" s="85">
        <f t="shared" si="16"/>
        <v>0</v>
      </c>
      <c r="AE199" s="92">
        <v>1</v>
      </c>
      <c r="AF199" s="133">
        <f>IF(C119=2,AT177,IF(C119=1,"",AW177))</f>
      </c>
      <c r="AG199" s="146" t="str">
        <f>IF(C119=2,IF(AT177="по весу",AL177,IF(AT177="мин",AK177,AM177)),IF(AW177="по весу",AP177,IF(AW177="мин",AO177,AQ177)))</f>
        <v>------</v>
      </c>
      <c r="AH199" s="137" t="str">
        <f>IF(C119=2,AJ177,AN177)</f>
        <v>------</v>
      </c>
    </row>
    <row r="200" spans="13:31" ht="15" hidden="1">
      <c r="M200" s="240"/>
      <c r="N200" s="180" t="s">
        <v>61</v>
      </c>
      <c r="O200" s="178" t="s">
        <v>22</v>
      </c>
      <c r="P200" s="178">
        <v>20</v>
      </c>
      <c r="Q200" s="177">
        <f>P200*R200</f>
        <v>1380</v>
      </c>
      <c r="R200" s="178">
        <v>69</v>
      </c>
      <c r="S200" s="178">
        <v>68</v>
      </c>
      <c r="T200" s="178">
        <v>68</v>
      </c>
      <c r="U200" s="178">
        <v>68</v>
      </c>
      <c r="V200" s="183">
        <v>68</v>
      </c>
      <c r="W200" s="134">
        <f t="shared" si="17"/>
        <v>69</v>
      </c>
      <c r="X200" s="96">
        <f>IF(D128=0,0,ROUNDUP(IF(IF((167*H10)&lt;F10,F10,(167*H10))&lt;P200,P200,IF((167*H10)&lt;F10,F10,(167*H10))),0))</f>
        <v>0</v>
      </c>
      <c r="Y200" s="85">
        <f>IF(X200&lt;51,X200*R200,IF(X200&lt;101,X200*S200,IF(X200&lt;301,X200*T200,IF(X200&lt;501,X200*U200,X200*V200))))</f>
        <v>0</v>
      </c>
      <c r="Z200" s="85">
        <f>IF(C119=1,ROUND(AC200,0),IF(C119=2,ROUND(AD200,0),ROUND(AE200,0)))</f>
        <v>0</v>
      </c>
      <c r="AA200" s="68">
        <v>74</v>
      </c>
      <c r="AB200" t="s">
        <v>111</v>
      </c>
      <c r="AC200" s="85">
        <f>IF(X208&lt;51,X208*R208,IF(X208&lt;101,X208*S208,IF(X208&lt;301,X208*T208,IF(X208&lt;501,X208*U208,X208*V208))))</f>
        <v>0</v>
      </c>
      <c r="AD200" s="92">
        <v>1</v>
      </c>
      <c r="AE200" s="92">
        <v>1</v>
      </c>
    </row>
    <row r="201" spans="13:31" ht="15" hidden="1">
      <c r="M201" s="171" t="s">
        <v>104</v>
      </c>
      <c r="N201" s="180" t="s">
        <v>61</v>
      </c>
      <c r="O201" s="178" t="s">
        <v>19</v>
      </c>
      <c r="P201" s="178">
        <v>30</v>
      </c>
      <c r="Q201" s="177">
        <f t="shared" si="18"/>
        <v>2820</v>
      </c>
      <c r="R201" s="181">
        <v>94</v>
      </c>
      <c r="S201" s="181">
        <f>R201</f>
        <v>94</v>
      </c>
      <c r="T201" s="181">
        <f>S201</f>
        <v>94</v>
      </c>
      <c r="U201" s="181">
        <f>T201</f>
        <v>94</v>
      </c>
      <c r="V201" s="182">
        <f>U201</f>
        <v>94</v>
      </c>
      <c r="W201" s="134">
        <f t="shared" si="17"/>
        <v>94</v>
      </c>
      <c r="X201" s="96">
        <f>IF(D128=0,0,ROUNDUP(IF(IF((167*H10)&lt;F10,F10,(167*H10))&lt;P201,P201,IF((167*H10)&lt;F10,F10,(167*H10))),0))</f>
        <v>0</v>
      </c>
      <c r="Z201" s="85">
        <f>IF(C119=1,ROUND(AC201,0),IF(C119=2,ROUND(AD201,0),ROUND(AE201,0)))</f>
        <v>0</v>
      </c>
      <c r="AA201" s="68">
        <v>75</v>
      </c>
      <c r="AB201" t="s">
        <v>246</v>
      </c>
      <c r="AC201" s="85">
        <f>IF(X209&lt;51,X209*R209,IF(X209&lt;101,X209*S209,IF(X209&lt;301,X209*T209,IF(X209&lt;501,X209*U209,X209*V209))))</f>
        <v>0</v>
      </c>
      <c r="AD201" s="92">
        <v>1</v>
      </c>
      <c r="AE201" s="92">
        <v>1</v>
      </c>
    </row>
    <row r="202" spans="13:34" ht="15" hidden="1">
      <c r="M202" s="240" t="s">
        <v>105</v>
      </c>
      <c r="N202" s="212" t="s">
        <v>25</v>
      </c>
      <c r="O202" s="27" t="s">
        <v>22</v>
      </c>
      <c r="P202" s="27">
        <v>20</v>
      </c>
      <c r="Q202" s="28">
        <f t="shared" si="18"/>
        <v>1140</v>
      </c>
      <c r="R202" s="27">
        <v>57</v>
      </c>
      <c r="S202" s="27">
        <v>57</v>
      </c>
      <c r="T202" s="27">
        <v>55</v>
      </c>
      <c r="U202" s="27">
        <v>55</v>
      </c>
      <c r="V202" s="77">
        <v>55</v>
      </c>
      <c r="W202" s="134">
        <f t="shared" si="17"/>
        <v>57</v>
      </c>
      <c r="X202" s="96">
        <f>IF(D128=0,0,ROUNDUP(IF(IF((167*H10)&lt;F10,F10,(167*H10))&lt;P202,P202,IF((167*H10)&lt;F10,F10,(167*H10))),0))</f>
        <v>0</v>
      </c>
      <c r="Z202" s="85">
        <f>IF(C119=1,ROUND(AC202,0),IF(C119=2,ROUND(AD202,0),ROUND(AE202,0)))</f>
        <v>0</v>
      </c>
      <c r="AA202" s="68">
        <v>76</v>
      </c>
      <c r="AB202" t="s">
        <v>112</v>
      </c>
      <c r="AC202" s="85">
        <f>IF(X211&lt;51,X211*R211,IF(X211&lt;101,X211*S211,IF(X211&lt;301,X211*T211,IF(X211&lt;501,X211*U211,X211*V211))))</f>
        <v>0</v>
      </c>
      <c r="AD202" s="85">
        <f>IF(AT178="МИН",AK178,IF(AT178="по весу",AS178*AL178,AS178*AM178))</f>
        <v>0</v>
      </c>
      <c r="AE202" s="91">
        <f>IF(AW178="МИН",AO178,IF(AW178="по весу",AV178*AP178,AV178*AQ178))</f>
        <v>0</v>
      </c>
      <c r="AF202" s="133">
        <f>IF(C119=2,AT178,IF(C119=1,"",AW178))</f>
      </c>
      <c r="AG202" s="146">
        <f>IF(C119=2,IF(AT178="по весу",AL178,IF(AT178="мин",AK178,AM178)),IF(AW178="по весу",AP178,IF(AW178="мин",AO178,AQ178)))</f>
        <v>1700</v>
      </c>
      <c r="AH202" s="137" t="str">
        <f>IF(C119=2,AJ178,AN178)</f>
        <v>3-4</v>
      </c>
    </row>
    <row r="203" spans="13:31" ht="15" hidden="1">
      <c r="M203" s="240"/>
      <c r="N203" s="180" t="s">
        <v>106</v>
      </c>
      <c r="O203" s="178" t="s">
        <v>22</v>
      </c>
      <c r="P203" s="178">
        <v>30</v>
      </c>
      <c r="Q203" s="177">
        <f t="shared" si="18"/>
        <v>1110</v>
      </c>
      <c r="R203" s="178">
        <v>37</v>
      </c>
      <c r="S203" s="178">
        <v>34</v>
      </c>
      <c r="T203" s="178">
        <v>34</v>
      </c>
      <c r="U203" s="178">
        <v>34</v>
      </c>
      <c r="V203" s="183">
        <v>34</v>
      </c>
      <c r="W203" s="134">
        <f t="shared" si="17"/>
        <v>37</v>
      </c>
      <c r="X203" s="96">
        <f>IF(D128=0,0,ROUNDUP(IF(IF((167*H10)&lt;F10,F10,(167*H10))&lt;P203,P203,IF((167*H10)&lt;F10,F10,(167*H10))),0))</f>
        <v>0</v>
      </c>
      <c r="Y203" s="85">
        <f>IF(X203&lt;51,X203*R203,IF(X203&lt;101,X203*S203,IF(X203&lt;301,X203*T203,IF(X203&lt;501,X203*U203,X203*V203))))</f>
        <v>0</v>
      </c>
      <c r="Z203" s="85">
        <f>IF(C119=1,ROUND(AC203,0),IF(C119=2,ROUND(AD203,0),ROUND(AE203,0)))</f>
        <v>0</v>
      </c>
      <c r="AA203" s="68">
        <v>77</v>
      </c>
      <c r="AB203" t="s">
        <v>113</v>
      </c>
      <c r="AC203" s="85">
        <f>IF(X212&lt;51,X212*R212,IF(X212&lt;101,X212*S212,IF(X212&lt;301,X212*T212,IF(X212&lt;501,X212*U212,X212*V212))))</f>
        <v>0</v>
      </c>
      <c r="AD203" s="92">
        <v>1</v>
      </c>
      <c r="AE203" s="92">
        <v>1</v>
      </c>
    </row>
    <row r="204" spans="13:34" ht="15" hidden="1">
      <c r="M204" s="211" t="s">
        <v>107</v>
      </c>
      <c r="N204" s="170" t="s">
        <v>247</v>
      </c>
      <c r="O204" s="27" t="s">
        <v>22</v>
      </c>
      <c r="P204" s="27">
        <v>20</v>
      </c>
      <c r="Q204" s="28">
        <f t="shared" si="18"/>
        <v>1020</v>
      </c>
      <c r="R204" s="196">
        <v>51</v>
      </c>
      <c r="S204" s="196">
        <f>R204</f>
        <v>51</v>
      </c>
      <c r="T204" s="196">
        <f>S204</f>
        <v>51</v>
      </c>
      <c r="U204" s="196">
        <f>T204</f>
        <v>51</v>
      </c>
      <c r="V204" s="199">
        <f>U204</f>
        <v>51</v>
      </c>
      <c r="W204" s="134">
        <f t="shared" si="17"/>
        <v>51</v>
      </c>
      <c r="X204" s="96">
        <f>IF(D128=0,0,ROUNDUP(IF(IF((167*H10)&lt;F10,F10,(167*H10))&lt;P204,P204,IF((167*H10)&lt;F10,F10,(167*H10))),0))</f>
        <v>0</v>
      </c>
      <c r="Z204" s="85">
        <f>IF(C119=1,ROUND(AC204,0),IF(C119=2,ROUND(AD204,0),ROUND(AE204,0)))</f>
        <v>0</v>
      </c>
      <c r="AA204" s="68">
        <v>78</v>
      </c>
      <c r="AB204" t="s">
        <v>114</v>
      </c>
      <c r="AC204" s="85">
        <f>IF(X214&lt;51,X214*R214,IF(X214&lt;101,X214*S214,IF(X214&lt;301,X214*T214,IF(X214&lt;501,X214*U214,X214*V214))))</f>
        <v>0</v>
      </c>
      <c r="AD204" s="85">
        <f>IF(AT179="МИН",AK179,IF(AT179="по весу",AS179*AL179,AS179*AM179))</f>
        <v>0</v>
      </c>
      <c r="AE204" s="91">
        <f>IF(AW179="МИН",AO179,IF(AW179="по весу",AV179*AP179,AV179*AQ179))</f>
        <v>0</v>
      </c>
      <c r="AF204" s="133">
        <f>IF(C119=2,AT179,IF(C119=1,"",AW179))</f>
      </c>
      <c r="AG204" s="146">
        <f>IF(C119=2,IF(AT179="по весу",AL179,IF(AT179="мин",AK179,AM179)),IF(AW179="по весу",AP179,IF(AW179="мин",AO179,AQ179)))</f>
        <v>3300</v>
      </c>
      <c r="AH204" s="137" t="str">
        <f>IF(C119=2,AJ179,AN179)</f>
        <v>16-17</v>
      </c>
    </row>
    <row r="205" spans="13:34" ht="15" hidden="1">
      <c r="M205" s="240" t="s">
        <v>108</v>
      </c>
      <c r="N205" s="180" t="s">
        <v>25</v>
      </c>
      <c r="O205" s="178" t="s">
        <v>22</v>
      </c>
      <c r="P205" s="178">
        <v>20</v>
      </c>
      <c r="Q205" s="177">
        <f t="shared" si="18"/>
        <v>1420</v>
      </c>
      <c r="R205" s="178">
        <v>71</v>
      </c>
      <c r="S205" s="178">
        <v>70</v>
      </c>
      <c r="T205" s="178">
        <v>70</v>
      </c>
      <c r="U205" s="178">
        <v>70</v>
      </c>
      <c r="V205" s="183">
        <v>70</v>
      </c>
      <c r="W205" s="134">
        <f t="shared" si="17"/>
        <v>71</v>
      </c>
      <c r="X205" s="96">
        <f>IF(D128=0,0,ROUNDUP(IF(IF((167*H10)&lt;F10,F10,(167*H10))&lt;P205,P205,IF((167*H10)&lt;F10,F10,(167*H10))),0))</f>
        <v>0</v>
      </c>
      <c r="Z205" s="85">
        <f>IF(C119=1,ROUND(AC205,0),IF(C119=2,ROUND(AD205,0),ROUND(AE205,0)))</f>
        <v>0</v>
      </c>
      <c r="AA205" s="68">
        <v>79</v>
      </c>
      <c r="AB205" t="s">
        <v>116</v>
      </c>
      <c r="AC205" s="85">
        <f>IF(X216&lt;51,X216*R216,IF(X216&lt;101,X216*S216,IF(X216&lt;301,X216*T216,IF(X216&lt;501,X216*U216,X216*V216))))</f>
        <v>0</v>
      </c>
      <c r="AD205" s="85">
        <f>IF(AT180="МИН",AK180,IF(AT180="по весу",AS180*AL180,AS180*AM180))</f>
        <v>0</v>
      </c>
      <c r="AE205" s="92">
        <v>1</v>
      </c>
      <c r="AF205" s="133">
        <f>IF(C119=2,AT180,IF(C119=1,"",AW180))</f>
      </c>
      <c r="AG205" s="146" t="str">
        <f>IF(C119=2,IF(AT180="по весу",AL180,IF(AT180="мин",AK180,AM180)),IF(AW180="по весу",AP180,IF(AW180="мин",AO180,AQ180)))</f>
        <v>------</v>
      </c>
      <c r="AH205" s="137" t="str">
        <f>IF(C119=2,AJ180,AN180)</f>
        <v>------</v>
      </c>
    </row>
    <row r="206" spans="13:34" ht="15" hidden="1">
      <c r="M206" s="240"/>
      <c r="N206" s="180" t="s">
        <v>109</v>
      </c>
      <c r="O206" s="178" t="s">
        <v>22</v>
      </c>
      <c r="P206" s="178">
        <v>30</v>
      </c>
      <c r="Q206" s="177">
        <f t="shared" si="18"/>
        <v>2880</v>
      </c>
      <c r="R206" s="178">
        <v>96</v>
      </c>
      <c r="S206" s="178">
        <v>95</v>
      </c>
      <c r="T206" s="178">
        <v>95</v>
      </c>
      <c r="U206" s="178">
        <v>95</v>
      </c>
      <c r="V206" s="183">
        <v>95</v>
      </c>
      <c r="W206" s="134">
        <f t="shared" si="17"/>
        <v>96</v>
      </c>
      <c r="X206" s="96">
        <f>IF(D128=0,0,ROUNDUP(IF(IF((167*H10)&lt;F10,F10,(167*H10))&lt;P206,P206,IF((167*H10)&lt;F10,F10,(167*H10))),0))</f>
        <v>0</v>
      </c>
      <c r="Y206" s="85">
        <f>IF(X206&lt;51,X206*R206,IF(X206&lt;101,X206*S206,IF(X206&lt;301,X206*T206,IF(X206&lt;501,X206*U206,X206*V206))))</f>
        <v>0</v>
      </c>
      <c r="Z206" s="85">
        <f>IF(C119=1,ROUND(AC206,0),IF(C119=2,ROUND(AD206,0),ROUND(AE206,0)))</f>
        <v>0</v>
      </c>
      <c r="AA206" s="68">
        <v>80</v>
      </c>
      <c r="AB206" t="s">
        <v>117</v>
      </c>
      <c r="AC206" s="85">
        <f>IF(X217&lt;51,X217*R217,IF(X217&lt;101,X217*S217,IF(X217&lt;301,X217*T217,IF(X217&lt;501,X217*U217,X217*V217))))</f>
        <v>0</v>
      </c>
      <c r="AD206" s="85">
        <f>IF(AT181="МИН",AK181,IF(AT181="по весу",AS181*AL181,AS181*AM181))</f>
        <v>0</v>
      </c>
      <c r="AE206" s="91">
        <f>IF(AW181="МИН",AO181,IF(AW181="по весу",AV181*AP181,AV181*AQ181))</f>
        <v>0</v>
      </c>
      <c r="AF206" s="133">
        <f>IF(C119=2,AT181,IF(C119=1,"",AW181))</f>
      </c>
      <c r="AG206" s="146">
        <f>IF(C119=2,IF(AT181="по весу",AL181,IF(AT181="мин",AK181,AM181)),IF(AW181="по весу",AP181,IF(AW181="мин",AO181,AQ181)))</f>
        <v>2175</v>
      </c>
      <c r="AH206" s="137" t="str">
        <f>IF(C119=2,AJ181,AN181)</f>
        <v>6-8</v>
      </c>
    </row>
    <row r="207" spans="13:34" ht="15" hidden="1">
      <c r="M207" s="200" t="s">
        <v>110</v>
      </c>
      <c r="N207" s="201" t="s">
        <v>61</v>
      </c>
      <c r="O207" s="202" t="s">
        <v>19</v>
      </c>
      <c r="P207" s="202">
        <v>20</v>
      </c>
      <c r="Q207" s="205">
        <f t="shared" si="18"/>
        <v>1180</v>
      </c>
      <c r="R207" s="196">
        <v>59</v>
      </c>
      <c r="S207" s="196">
        <f aca="true" t="shared" si="20" ref="S207:V208">R207</f>
        <v>59</v>
      </c>
      <c r="T207" s="196">
        <f t="shared" si="20"/>
        <v>59</v>
      </c>
      <c r="U207" s="196">
        <f t="shared" si="20"/>
        <v>59</v>
      </c>
      <c r="V207" s="199">
        <f t="shared" si="20"/>
        <v>59</v>
      </c>
      <c r="W207" s="134">
        <f t="shared" si="17"/>
        <v>59</v>
      </c>
      <c r="X207" s="96">
        <f>IF(D128=0,0,ROUNDUP(IF(IF((167*H10)&lt;F10,F10,(167*H10))&lt;P207,P207,IF((167*H10)&lt;F10,F10,(167*H10))),0))</f>
        <v>0</v>
      </c>
      <c r="Z207" s="85">
        <f>IF(C119=1,ROUND(AC207,0),IF(C119=2,ROUND(AD207,0),ROUND(AE207,0)))</f>
        <v>0</v>
      </c>
      <c r="AA207" s="68">
        <v>81</v>
      </c>
      <c r="AB207" t="s">
        <v>118</v>
      </c>
      <c r="AC207" s="85">
        <f>IF(X218&lt;51,X218*R218,IF(X218&lt;101,X218*S218,IF(X218&lt;301,X218*T218,IF(X218&lt;501,X218*U218,X218*V218))))</f>
        <v>0</v>
      </c>
      <c r="AD207" s="85">
        <f>IF(AT182="МИН",AK182,IF(AT182="по весу",AS182*AL182,AS182*AM182))</f>
        <v>0</v>
      </c>
      <c r="AE207" s="92">
        <v>1</v>
      </c>
      <c r="AF207" s="133">
        <f>IF(C119=2,AT182,IF(C119=1,"",AW182))</f>
      </c>
      <c r="AG207" s="146" t="str">
        <f>IF(C119=2,IF(AT182="по весу",AL182,IF(AT182="мин",AK182,AM182)),IF(AW182="по весу",AP182,IF(AW182="мин",AO182,AQ182)))</f>
        <v>------</v>
      </c>
      <c r="AH207" s="137" t="str">
        <f>IF(C119=2,AJ182,AN182)</f>
        <v>------</v>
      </c>
    </row>
    <row r="208" spans="13:31" ht="15" hidden="1">
      <c r="M208" s="211" t="s">
        <v>111</v>
      </c>
      <c r="N208" s="170" t="s">
        <v>61</v>
      </c>
      <c r="O208" s="27" t="s">
        <v>19</v>
      </c>
      <c r="P208" s="27">
        <v>20</v>
      </c>
      <c r="Q208" s="28">
        <f t="shared" si="18"/>
        <v>2520</v>
      </c>
      <c r="R208" s="196">
        <v>126</v>
      </c>
      <c r="S208" s="196">
        <f t="shared" si="20"/>
        <v>126</v>
      </c>
      <c r="T208" s="196">
        <f t="shared" si="20"/>
        <v>126</v>
      </c>
      <c r="U208" s="196">
        <f t="shared" si="20"/>
        <v>126</v>
      </c>
      <c r="V208" s="199">
        <f t="shared" si="20"/>
        <v>126</v>
      </c>
      <c r="W208" s="134">
        <f t="shared" si="17"/>
        <v>126</v>
      </c>
      <c r="X208" s="96">
        <f>IF(D128=0,0,ROUNDUP(IF(IF((167*H10)&lt;F10,F10,(167*H10))&lt;P208,P208,IF((167*H10)&lt;F10,F10,(167*H10))),0))</f>
        <v>0</v>
      </c>
      <c r="Z208" s="85">
        <f>IF(C119=1,ROUND(AC208,0),IF(C119=2,ROUND(AD208,0),ROUND(AE208,0)))</f>
        <v>0</v>
      </c>
      <c r="AA208" s="68">
        <v>82</v>
      </c>
      <c r="AB208" t="s">
        <v>250</v>
      </c>
      <c r="AC208" s="85">
        <f>IF(X219&lt;51,X219*R219,IF(X219&lt;101,X219*S219,IF(X219&lt;301,X219*T219,IF(X219&lt;501,X219*U219,X219*V219))))</f>
        <v>0</v>
      </c>
      <c r="AD208" s="92">
        <v>1</v>
      </c>
      <c r="AE208" s="92">
        <v>1</v>
      </c>
    </row>
    <row r="209" spans="13:34" ht="15" hidden="1">
      <c r="M209" s="171" t="s">
        <v>246</v>
      </c>
      <c r="N209" s="180" t="s">
        <v>57</v>
      </c>
      <c r="O209" s="178" t="s">
        <v>19</v>
      </c>
      <c r="P209" s="178">
        <v>20</v>
      </c>
      <c r="Q209" s="177">
        <f t="shared" si="18"/>
        <v>2040</v>
      </c>
      <c r="R209" s="178">
        <v>102</v>
      </c>
      <c r="S209" s="178">
        <v>85</v>
      </c>
      <c r="T209" s="178">
        <v>85</v>
      </c>
      <c r="U209" s="178">
        <v>85</v>
      </c>
      <c r="V209" s="183">
        <v>85</v>
      </c>
      <c r="W209" s="134">
        <f t="shared" si="17"/>
        <v>102</v>
      </c>
      <c r="X209" s="96">
        <f>IF(D128=0,0,ROUNDUP(IF(IF((167*H10)&lt;F10,F10,(167*H10))&lt;P209,P209,IF((167*H10)&lt;F10,F10,(167*H10))),0))</f>
        <v>0</v>
      </c>
      <c r="Z209" s="85">
        <f>IF(C119=1,ROUND(AC209,0),IF(C119=2,ROUND(AD209,0),ROUND(AE209,0)))</f>
        <v>0</v>
      </c>
      <c r="AA209" s="68">
        <v>83</v>
      </c>
      <c r="AB209" t="s">
        <v>120</v>
      </c>
      <c r="AC209" s="85">
        <f>IF(X221&lt;51,X221*R221,IF(X221&lt;101,X221*S221,IF(X221&lt;301,X221*T221,IF(X221&lt;501,X221*U221,X221*V221))))</f>
        <v>0</v>
      </c>
      <c r="AD209" s="85">
        <f>IF(AT183="МИН",AK183,IF(AT183="по весу",AS183*AL183,AS183*AM183))</f>
        <v>0</v>
      </c>
      <c r="AE209" s="92">
        <v>1</v>
      </c>
      <c r="AF209" s="133">
        <f>IF(C119=2,AT183,IF(C119=1,"",AW183))</f>
      </c>
      <c r="AG209" s="146" t="str">
        <f>IF(C119=2,IF(AT183="по весу",AL183,IF(AT183="мин",AK183,AM183)),IF(AW183="по весу",AP183,IF(AW183="мин",AO183,AQ183)))</f>
        <v>------</v>
      </c>
      <c r="AH209" s="137" t="str">
        <f>IF(C119=2,AJ183,AN183)</f>
        <v>------</v>
      </c>
    </row>
    <row r="210" spans="13:31" ht="15" hidden="1">
      <c r="M210" s="240" t="s">
        <v>112</v>
      </c>
      <c r="N210" s="170" t="s">
        <v>33</v>
      </c>
      <c r="O210" s="27" t="s">
        <v>22</v>
      </c>
      <c r="P210" s="27">
        <v>30</v>
      </c>
      <c r="Q210" s="28">
        <f aca="true" t="shared" si="21" ref="Q210:Q222">P210*R210</f>
        <v>1260</v>
      </c>
      <c r="R210" s="27">
        <v>42</v>
      </c>
      <c r="S210" s="27">
        <f aca="true" t="shared" si="22" ref="S210:V215">R210</f>
        <v>42</v>
      </c>
      <c r="T210" s="27">
        <f t="shared" si="22"/>
        <v>42</v>
      </c>
      <c r="U210" s="27">
        <f t="shared" si="22"/>
        <v>42</v>
      </c>
      <c r="V210" s="77">
        <f t="shared" si="22"/>
        <v>42</v>
      </c>
      <c r="W210" s="134">
        <f t="shared" si="17"/>
        <v>42</v>
      </c>
      <c r="X210" s="96">
        <f>IF(D128=0,0,ROUNDUP(IF(IF((167*H10)&lt;F10,F10,(167*H10))&lt;P210,P210,IF((167*H10)&lt;F10,F10,(167*H10))),0))</f>
        <v>0</v>
      </c>
      <c r="Y210" s="85">
        <f>IF(X210&lt;51,X210*R210,IF(X210&lt;101,X210*S210,IF(X210&lt;301,X210*T210,IF(X210&lt;501,X210*U210,X210*V210))))</f>
        <v>0</v>
      </c>
      <c r="Z210" s="85">
        <f>IF(C119=1,ROUND(AC210,0),IF(C119=2,ROUND(AD210,0),ROUND(AE210,0)))</f>
        <v>0</v>
      </c>
      <c r="AA210" s="68">
        <v>84</v>
      </c>
      <c r="AB210" t="s">
        <v>190</v>
      </c>
      <c r="AC210" s="85">
        <f>IF(X222&lt;51,X222*R222,IF(X222&lt;101,X222*S222,IF(X222&lt;301,X222*T222,IF(X222&lt;501,X222*U222,X222*V222))))</f>
        <v>0</v>
      </c>
      <c r="AD210" s="92">
        <v>1</v>
      </c>
      <c r="AE210" s="92">
        <v>1</v>
      </c>
    </row>
    <row r="211" spans="13:34" ht="15" hidden="1">
      <c r="M211" s="240"/>
      <c r="N211" s="170" t="s">
        <v>25</v>
      </c>
      <c r="O211" s="27" t="s">
        <v>22</v>
      </c>
      <c r="P211" s="27">
        <v>20</v>
      </c>
      <c r="Q211" s="28">
        <f t="shared" si="21"/>
        <v>880</v>
      </c>
      <c r="R211" s="196">
        <v>44</v>
      </c>
      <c r="S211" s="196">
        <f t="shared" si="22"/>
        <v>44</v>
      </c>
      <c r="T211" s="196">
        <f t="shared" si="22"/>
        <v>44</v>
      </c>
      <c r="U211" s="196">
        <f t="shared" si="22"/>
        <v>44</v>
      </c>
      <c r="V211" s="199">
        <f t="shared" si="22"/>
        <v>44</v>
      </c>
      <c r="W211" s="134">
        <f t="shared" si="17"/>
        <v>44</v>
      </c>
      <c r="X211" s="96">
        <f>IF(D128=0,0,ROUNDUP(IF(IF((167*H10)&lt;F10,F10,(167*H10))&lt;P211,P211,IF((167*H10)&lt;F10,F10,(167*H10))),0))</f>
        <v>0</v>
      </c>
      <c r="Z211" s="85">
        <f>IF(C119=1,ROUND(AC211,0),IF(C119=2,ROUND(AD211,0),ROUND(AE211,0)))</f>
        <v>1</v>
      </c>
      <c r="AA211" s="68">
        <v>85</v>
      </c>
      <c r="AB211" t="s">
        <v>163</v>
      </c>
      <c r="AC211" s="92">
        <v>1</v>
      </c>
      <c r="AD211" s="85">
        <f>IF(AT184="МИН",AK184,IF(AT184="по весу",AS184*AL184,AS184*AM184))</f>
        <v>0</v>
      </c>
      <c r="AE211" s="92">
        <v>1</v>
      </c>
      <c r="AF211" s="133">
        <f>IF(C119=2,AT184,IF(C119=1,"",AW184))</f>
      </c>
      <c r="AG211" s="146" t="str">
        <f>IF(C119=2,IF(AT184="по весу",AL184,IF(AT184="мин",AK184,AM184)),IF(AW184="по весу",AP184,IF(AW184="мин",AO184,AQ184)))</f>
        <v>------</v>
      </c>
      <c r="AH211" s="137" t="str">
        <f>IF(C119=2,AJ184,AN184)</f>
        <v>------</v>
      </c>
    </row>
    <row r="212" spans="13:26" ht="15" hidden="1">
      <c r="M212" s="211" t="s">
        <v>113</v>
      </c>
      <c r="N212" s="170" t="s">
        <v>61</v>
      </c>
      <c r="O212" s="27" t="s">
        <v>19</v>
      </c>
      <c r="P212" s="27">
        <v>30</v>
      </c>
      <c r="Q212" s="28">
        <f t="shared" si="21"/>
        <v>1890</v>
      </c>
      <c r="R212" s="196">
        <v>63</v>
      </c>
      <c r="S212" s="196">
        <f t="shared" si="22"/>
        <v>63</v>
      </c>
      <c r="T212" s="196">
        <f t="shared" si="22"/>
        <v>63</v>
      </c>
      <c r="U212" s="196">
        <f t="shared" si="22"/>
        <v>63</v>
      </c>
      <c r="V212" s="199">
        <f t="shared" si="22"/>
        <v>63</v>
      </c>
      <c r="W212" s="134">
        <f t="shared" si="17"/>
        <v>63</v>
      </c>
      <c r="X212" s="96">
        <f>IF(D128=0,0,ROUNDUP(IF(IF((167*H10)&lt;F10,F10,(167*H10))&lt;P212,P212,IF((167*H10)&lt;F10,F10,(167*H10))),0))</f>
        <v>0</v>
      </c>
      <c r="Z212" s="85"/>
    </row>
    <row r="213" spans="13:26" ht="15" hidden="1">
      <c r="M213" s="240" t="s">
        <v>114</v>
      </c>
      <c r="N213" s="212" t="s">
        <v>39</v>
      </c>
      <c r="O213" s="27" t="s">
        <v>22</v>
      </c>
      <c r="P213" s="27">
        <v>30</v>
      </c>
      <c r="Q213" s="28">
        <f t="shared" si="21"/>
        <v>1950</v>
      </c>
      <c r="R213" s="196">
        <v>65</v>
      </c>
      <c r="S213" s="196">
        <f t="shared" si="22"/>
        <v>65</v>
      </c>
      <c r="T213" s="196">
        <f t="shared" si="22"/>
        <v>65</v>
      </c>
      <c r="U213" s="196">
        <f t="shared" si="22"/>
        <v>65</v>
      </c>
      <c r="V213" s="199">
        <f t="shared" si="22"/>
        <v>65</v>
      </c>
      <c r="W213" s="134">
        <f t="shared" si="17"/>
        <v>65</v>
      </c>
      <c r="X213" s="96">
        <f>IF(D128=0,0,ROUNDUP(IF(IF((167*H10)&lt;F10,F10,(167*H10))&lt;P213,P213,IF((167*H10)&lt;F10,F10,(167*H10))),0))</f>
        <v>0</v>
      </c>
      <c r="Y213" s="85">
        <f>IF(X213&lt;51,X213*R213,IF(X213&lt;101,X213*S213,IF(X213&lt;301,X213*T213,IF(X213&lt;501,X213*U213,X213*V213))))</f>
        <v>0</v>
      </c>
      <c r="Z213" s="85"/>
    </row>
    <row r="214" spans="13:26" ht="15" hidden="1">
      <c r="M214" s="240"/>
      <c r="N214" s="170" t="s">
        <v>25</v>
      </c>
      <c r="O214" s="27" t="s">
        <v>22</v>
      </c>
      <c r="P214" s="27">
        <v>30</v>
      </c>
      <c r="Q214" s="28">
        <f t="shared" si="21"/>
        <v>2010</v>
      </c>
      <c r="R214" s="196">
        <v>67</v>
      </c>
      <c r="S214" s="196">
        <f t="shared" si="22"/>
        <v>67</v>
      </c>
      <c r="T214" s="196">
        <f t="shared" si="22"/>
        <v>67</v>
      </c>
      <c r="U214" s="196">
        <f t="shared" si="22"/>
        <v>67</v>
      </c>
      <c r="V214" s="199">
        <f t="shared" si="22"/>
        <v>67</v>
      </c>
      <c r="W214" s="134">
        <f t="shared" si="17"/>
        <v>67</v>
      </c>
      <c r="X214" s="96">
        <f>IF(D128=0,0,ROUNDUP(IF(IF((167*H10)&lt;F10,F10,(167*H10))&lt;P214,P214,IF((167*H10)&lt;F10,F10,(167*H10))),0))</f>
        <v>0</v>
      </c>
      <c r="Z214" s="85"/>
    </row>
    <row r="215" spans="13:26" ht="15" hidden="1">
      <c r="M215" s="240"/>
      <c r="N215" s="212" t="s">
        <v>245</v>
      </c>
      <c r="O215" s="27" t="s">
        <v>19</v>
      </c>
      <c r="P215" s="27">
        <v>30</v>
      </c>
      <c r="Q215" s="28">
        <f t="shared" si="21"/>
        <v>2010</v>
      </c>
      <c r="R215" s="196">
        <v>67</v>
      </c>
      <c r="S215" s="196">
        <f t="shared" si="22"/>
        <v>67</v>
      </c>
      <c r="T215" s="196">
        <f t="shared" si="22"/>
        <v>67</v>
      </c>
      <c r="U215" s="196">
        <f t="shared" si="22"/>
        <v>67</v>
      </c>
      <c r="V215" s="199">
        <f t="shared" si="22"/>
        <v>67</v>
      </c>
      <c r="W215" s="134">
        <f t="shared" si="17"/>
        <v>67</v>
      </c>
      <c r="X215" s="96">
        <f>IF(D128=0,0,ROUNDUP(IF(IF((167*H10)&lt;F10,F10,(167*H10))&lt;P215,P215,IF((167*H10)&lt;F10,F10,(167*H10))),0))</f>
        <v>0</v>
      </c>
      <c r="Y215" s="85">
        <f>IF(X215&lt;51,X215*R215,IF(X215&lt;101,X215*S215,IF(X215&lt;301,X215*T215,IF(X215&lt;501,X215*U215,X215*V215))))</f>
        <v>0</v>
      </c>
      <c r="Z215" s="85"/>
    </row>
    <row r="216" spans="13:26" ht="15" hidden="1">
      <c r="M216" s="171" t="s">
        <v>116</v>
      </c>
      <c r="N216" s="180" t="s">
        <v>61</v>
      </c>
      <c r="O216" s="178" t="s">
        <v>19</v>
      </c>
      <c r="P216" s="178">
        <v>20</v>
      </c>
      <c r="Q216" s="177">
        <f t="shared" si="21"/>
        <v>1600</v>
      </c>
      <c r="R216" s="181">
        <v>80</v>
      </c>
      <c r="S216" s="181">
        <f aca="true" t="shared" si="23" ref="S216:V219">R216</f>
        <v>80</v>
      </c>
      <c r="T216" s="181">
        <f t="shared" si="23"/>
        <v>80</v>
      </c>
      <c r="U216" s="181">
        <f t="shared" si="23"/>
        <v>80</v>
      </c>
      <c r="V216" s="182">
        <f t="shared" si="23"/>
        <v>80</v>
      </c>
      <c r="W216" s="134">
        <f t="shared" si="17"/>
        <v>80</v>
      </c>
      <c r="X216" s="96">
        <f>IF(D128=0,0,ROUNDUP(IF(IF((167*H10)&lt;F10,F10,(167*H10))&lt;P216,P216,IF((167*H10)&lt;F10,F10,(167*H10))),0))</f>
        <v>0</v>
      </c>
      <c r="Z216" s="85"/>
    </row>
    <row r="217" spans="13:26" ht="15" hidden="1">
      <c r="M217" s="171" t="s">
        <v>117</v>
      </c>
      <c r="N217" s="180" t="s">
        <v>25</v>
      </c>
      <c r="O217" s="178" t="s">
        <v>22</v>
      </c>
      <c r="P217" s="178">
        <v>20</v>
      </c>
      <c r="Q217" s="177">
        <f t="shared" si="21"/>
        <v>920</v>
      </c>
      <c r="R217" s="196">
        <v>46</v>
      </c>
      <c r="S217" s="196">
        <f t="shared" si="23"/>
        <v>46</v>
      </c>
      <c r="T217" s="196">
        <f t="shared" si="23"/>
        <v>46</v>
      </c>
      <c r="U217" s="196">
        <f t="shared" si="23"/>
        <v>46</v>
      </c>
      <c r="V217" s="199">
        <f t="shared" si="23"/>
        <v>46</v>
      </c>
      <c r="W217" s="134">
        <f t="shared" si="17"/>
        <v>46</v>
      </c>
      <c r="X217" s="96">
        <f>IF(D128=0,0,ROUNDUP(IF(IF((167*H10)&lt;F10,F10,(167*H10))&lt;P217,P217,IF((167*H10)&lt;F10,F10,(167*H10))),0))</f>
        <v>0</v>
      </c>
      <c r="Z217" s="85"/>
    </row>
    <row r="218" spans="13:26" ht="15" hidden="1">
      <c r="M218" s="172" t="s">
        <v>118</v>
      </c>
      <c r="N218" s="170" t="s">
        <v>273</v>
      </c>
      <c r="O218" s="27" t="s">
        <v>22</v>
      </c>
      <c r="P218" s="202">
        <v>25</v>
      </c>
      <c r="Q218" s="28">
        <f t="shared" si="21"/>
        <v>1625</v>
      </c>
      <c r="R218" s="196">
        <v>65</v>
      </c>
      <c r="S218" s="196">
        <f t="shared" si="23"/>
        <v>65</v>
      </c>
      <c r="T218" s="196">
        <f t="shared" si="23"/>
        <v>65</v>
      </c>
      <c r="U218" s="196">
        <f t="shared" si="23"/>
        <v>65</v>
      </c>
      <c r="V218" s="199">
        <f t="shared" si="23"/>
        <v>65</v>
      </c>
      <c r="W218" s="134">
        <f t="shared" si="17"/>
        <v>65</v>
      </c>
      <c r="X218" s="96">
        <f>IF(D128=0,0,ROUNDUP(IF(IF((167*H10)&lt;F10,F10,(167*H10))&lt;P218,P218,IF((167*H10)&lt;F10,F10,(167*H10))),0))</f>
        <v>0</v>
      </c>
      <c r="Z218" s="85"/>
    </row>
    <row r="219" spans="13:26" ht="15" hidden="1">
      <c r="M219" s="240" t="s">
        <v>250</v>
      </c>
      <c r="N219" s="212" t="s">
        <v>39</v>
      </c>
      <c r="O219" s="27" t="s">
        <v>22</v>
      </c>
      <c r="P219" s="27">
        <v>30</v>
      </c>
      <c r="Q219" s="28">
        <f t="shared" si="21"/>
        <v>2460</v>
      </c>
      <c r="R219" s="196">
        <v>82</v>
      </c>
      <c r="S219" s="196">
        <f t="shared" si="23"/>
        <v>82</v>
      </c>
      <c r="T219" s="196">
        <f t="shared" si="23"/>
        <v>82</v>
      </c>
      <c r="U219" s="196">
        <f t="shared" si="23"/>
        <v>82</v>
      </c>
      <c r="V219" s="199">
        <f t="shared" si="23"/>
        <v>82</v>
      </c>
      <c r="W219" s="134">
        <f t="shared" si="17"/>
        <v>82</v>
      </c>
      <c r="X219" s="96">
        <f>IF(D128=0,0,ROUNDUP(IF(IF((167*H10)&lt;F10,F10,(167*H10))&lt;P219,P219,IF((167*H10)&lt;F10,F10,(167*H10))),0))</f>
        <v>0</v>
      </c>
      <c r="Z219" s="85"/>
    </row>
    <row r="220" spans="13:26" ht="15" hidden="1">
      <c r="M220" s="240" t="s">
        <v>119</v>
      </c>
      <c r="N220" s="197" t="s">
        <v>115</v>
      </c>
      <c r="O220" s="27" t="s">
        <v>28</v>
      </c>
      <c r="P220" s="27">
        <v>30</v>
      </c>
      <c r="Q220" s="28">
        <f t="shared" si="21"/>
        <v>2340</v>
      </c>
      <c r="R220" s="196">
        <v>78</v>
      </c>
      <c r="S220" s="196">
        <f>R220</f>
        <v>78</v>
      </c>
      <c r="T220" s="196">
        <f>S220</f>
        <v>78</v>
      </c>
      <c r="U220" s="196">
        <f>T220</f>
        <v>78</v>
      </c>
      <c r="V220" s="199">
        <f>U220</f>
        <v>78</v>
      </c>
      <c r="W220" s="134">
        <f t="shared" si="17"/>
        <v>78</v>
      </c>
      <c r="X220" s="96">
        <f>IF(D128=0,0,ROUNDUP(IF(IF((167*H10)&lt;F10,F10,(167*H10))&lt;P220,P220,IF((167*H10)&lt;F10,F10,(167*H10))),0))</f>
        <v>0</v>
      </c>
      <c r="Y220" s="85">
        <f>IF(X220&lt;51,X220*R220,IF(X220&lt;101,X220*S220,IF(X220&lt;301,X220*T220,IF(X220&lt;501,X220*U220,X220*V220))))</f>
        <v>0</v>
      </c>
      <c r="Z220" s="85"/>
    </row>
    <row r="221" spans="13:26" ht="15" hidden="1">
      <c r="M221" s="171" t="s">
        <v>120</v>
      </c>
      <c r="N221" s="180" t="s">
        <v>23</v>
      </c>
      <c r="O221" s="178" t="s">
        <v>22</v>
      </c>
      <c r="P221" s="178">
        <v>30</v>
      </c>
      <c r="Q221" s="177">
        <f t="shared" si="21"/>
        <v>2850</v>
      </c>
      <c r="R221" s="181">
        <v>95</v>
      </c>
      <c r="S221" s="181">
        <f aca="true" t="shared" si="24" ref="S221:V222">R221</f>
        <v>95</v>
      </c>
      <c r="T221" s="181">
        <f t="shared" si="24"/>
        <v>95</v>
      </c>
      <c r="U221" s="181">
        <f t="shared" si="24"/>
        <v>95</v>
      </c>
      <c r="V221" s="182">
        <f t="shared" si="24"/>
        <v>95</v>
      </c>
      <c r="W221" s="134">
        <f t="shared" si="17"/>
        <v>95</v>
      </c>
      <c r="X221" s="96">
        <f>IF(D128=0,0,ROUNDUP(IF(IF((167*H10)&lt;F10,F10,(167*H10))&lt;P221,P221,IF((167*H10)&lt;F10,F10,(167*H10))),0))</f>
        <v>0</v>
      </c>
      <c r="Z221" s="85"/>
    </row>
    <row r="222" spans="13:26" ht="15" hidden="1">
      <c r="M222" s="171" t="s">
        <v>121</v>
      </c>
      <c r="N222" s="180" t="s">
        <v>122</v>
      </c>
      <c r="O222" s="178" t="s">
        <v>19</v>
      </c>
      <c r="P222" s="178">
        <v>30</v>
      </c>
      <c r="Q222" s="177">
        <f t="shared" si="21"/>
        <v>1830</v>
      </c>
      <c r="R222" s="181">
        <v>61</v>
      </c>
      <c r="S222" s="181">
        <f t="shared" si="24"/>
        <v>61</v>
      </c>
      <c r="T222" s="181">
        <f t="shared" si="24"/>
        <v>61</v>
      </c>
      <c r="U222" s="181">
        <f t="shared" si="24"/>
        <v>61</v>
      </c>
      <c r="V222" s="182">
        <f t="shared" si="24"/>
        <v>61</v>
      </c>
      <c r="W222" s="134">
        <f t="shared" si="17"/>
        <v>61</v>
      </c>
      <c r="X222" s="96">
        <f>IF(D128=0,0,ROUNDUP(IF(IF((167*H10)&lt;F10,F10,(167*H10))&lt;P222,P222,IF((167*H10)&lt;F10,F10,(167*H10))),0))</f>
        <v>0</v>
      </c>
      <c r="Z222" s="85"/>
    </row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309" ht="12.75"/>
    <row r="310" ht="12.75"/>
    <row r="311" ht="12.75"/>
    <row r="327" ht="12.75"/>
    <row r="328" ht="12.75"/>
    <row r="329" ht="12.75"/>
    <row r="330" ht="12.75"/>
  </sheetData>
  <sheetProtection password="C344" sheet="1" objects="1" scenarios="1" selectLockedCells="1"/>
  <protectedRanges>
    <protectedRange sqref="A31:IV42" name="Диапазон1"/>
  </protectedRanges>
  <mergeCells count="42">
    <mergeCell ref="M188:M189"/>
    <mergeCell ref="AI124:AQ124"/>
    <mergeCell ref="AI125:AI126"/>
    <mergeCell ref="AJ125:AM125"/>
    <mergeCell ref="AN125:AQ125"/>
    <mergeCell ref="M140:M141"/>
    <mergeCell ref="M148:M149"/>
    <mergeCell ref="M136:M137"/>
    <mergeCell ref="M128:M129"/>
    <mergeCell ref="C115:E115"/>
    <mergeCell ref="M168:M169"/>
    <mergeCell ref="M213:M215"/>
    <mergeCell ref="M219:M220"/>
    <mergeCell ref="M199:M200"/>
    <mergeCell ref="M202:M203"/>
    <mergeCell ref="M205:M206"/>
    <mergeCell ref="M210:M211"/>
    <mergeCell ref="M170:M171"/>
    <mergeCell ref="M172:M173"/>
    <mergeCell ref="M124:V124"/>
    <mergeCell ref="M125:M126"/>
    <mergeCell ref="N125:N126"/>
    <mergeCell ref="O125:O126"/>
    <mergeCell ref="M163:M164"/>
    <mergeCell ref="M157:M158"/>
    <mergeCell ref="M161:M162"/>
    <mergeCell ref="C43:F43"/>
    <mergeCell ref="I29:J29"/>
    <mergeCell ref="E16:G16"/>
    <mergeCell ref="E13:G13"/>
    <mergeCell ref="E14:G14"/>
    <mergeCell ref="C44:F44"/>
    <mergeCell ref="F28:G28"/>
    <mergeCell ref="F29:G29"/>
    <mergeCell ref="C114:E114"/>
    <mergeCell ref="E109:G109"/>
    <mergeCell ref="E110:G110"/>
    <mergeCell ref="B2:K2"/>
    <mergeCell ref="D8:E8"/>
    <mergeCell ref="C6:J6"/>
    <mergeCell ref="C22:C23"/>
    <mergeCell ref="C42:F42"/>
  </mergeCells>
  <hyperlinks>
    <hyperlink ref="C42" r:id="rId1" tooltip="Нажмите для просмотра тарифов на авиаперевозку" display="ПРАЙС-ЛИСТ на авиаперевозки"/>
    <hyperlink ref="C43" r:id="rId2" display="ПРАЙС-ЛИСТ на Ж/Д перевозки"/>
    <hyperlink ref="C44" r:id="rId3" display="ПРАЙС-ЛИСТ на автоэкспедирование"/>
    <hyperlink ref="I29" r:id="rId4" display="Оформить заявку"/>
    <hyperlink ref="I29:J29" r:id="rId5" tooltip="Нажмите, чтобы заполнить заявку" display="Оформить заявку"/>
    <hyperlink ref="C42:E42" r:id="rId6" tooltip="Нажмите для просмотра тарифов на авиаперевозку" display="ПРАЙС-ЛИСТ на авиаперевозки"/>
    <hyperlink ref="C43:E43" r:id="rId7" tooltip="Нажмите для просмотра тарифов на Ж/Д перевозку" display="ПРАЙС-ЛИСТ на Ж/Д перевозки"/>
    <hyperlink ref="C44:F44" r:id="rId8" tooltip="Нажмите для просмотра тарифов на автоэкспедирование" display="ПРАЙС-ЛИСТ на автоэкспедирование"/>
    <hyperlink ref="C42:F42" r:id="rId9" tooltip="Нажмите для просмотра тарифов на авиаперевозку" display="ПРАЙС-ЛИСТ на авиаперевозки"/>
    <hyperlink ref="C43:F43" r:id="rId10" tooltip="Нажмите для просмотра тарифов на Ж/Д перевозку" display="ПРАЙС-ЛИСТ на Ж/Д перевозки"/>
  </hyperlinks>
  <printOptions horizontalCentered="1"/>
  <pageMargins left="0.3937007874015748" right="0" top="0.3937007874015748" bottom="0.984251968503937" header="0.5118110236220472" footer="0.5118110236220472"/>
  <pageSetup fitToHeight="1" fitToWidth="1" horizontalDpi="300" verticalDpi="300" orientation="portrait" paperSize="9" scale="79" r:id="rId14"/>
  <drawing r:id="rId13"/>
  <legacy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VTK</dc:creator>
  <cp:keywords/>
  <dc:description/>
  <cp:lastModifiedBy>alina</cp:lastModifiedBy>
  <cp:lastPrinted>2009-02-12T10:08:04Z</cp:lastPrinted>
  <dcterms:created xsi:type="dcterms:W3CDTF">2008-02-26T19:36:14Z</dcterms:created>
  <dcterms:modified xsi:type="dcterms:W3CDTF">2010-04-09T13:15:47Z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